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Sheet1" sheetId="2" r:id="rId5"/>
    <sheet state="visible" name="Cash Flow Statement" sheetId="3" r:id="rId6"/>
    <sheet state="visible" name="Balance Sheet" sheetId="4" r:id="rId7"/>
    <sheet state="visible" name="Financial" sheetId="5" r:id="rId8"/>
    <sheet state="visible" name="Ratios" sheetId="6" r:id="rId9"/>
    <sheet state="visible" name="Valuation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<sst xmlns="http://schemas.openxmlformats.org/spreadsheetml/2006/main" count="1694" uniqueCount="1488">
  <si>
    <t>ticker</t>
  </si>
  <si>
    <t>ENV</t>
  </si>
  <si>
    <t>nombre</t>
  </si>
  <si>
    <t>ENVESTNET INC</t>
  </si>
  <si>
    <t>empresa</t>
  </si>
  <si>
    <t>Software</t>
  </si>
  <si>
    <t>Ticker</t>
  </si>
  <si>
    <t>%</t>
  </si>
  <si>
    <t>EOY</t>
  </si>
  <si>
    <t>Median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</si>
  <si>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</si>
  <si>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</si>
  <si>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</si>
  <si>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</si>
  <si>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</si>
  <si>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</si>
  <si>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</si>
  <si>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</si>
  <si>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</si>
  <si>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</si>
  <si>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</si>
  <si>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</si>
  <si>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</si>
  <si>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</si>
  <si>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</si>
  <si>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</si>
  <si>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</si>
  <si>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</si>
  <si>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</si>
  <si>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</si>
  <si>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</si>
  <si>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</si>
  <si>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</si>
  <si>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</si>
  <si>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</si>
  <si>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</si>
  <si>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</si>
  <si>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</si>
  <si>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</si>
  <si>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</si>
  <si>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</si>
  <si>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</si>
  <si>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</si>
  <si>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</si>
  <si>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</si>
  <si>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</si>
  <si>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</si>
  <si>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</si>
  <si>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</si>
  <si>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</si>
  <si>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</si>
  <si>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</si>
  <si>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</si>
  <si>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</si>
  <si>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</si>
  <si>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</si>
  <si>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</si>
  <si>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</si>
  <si>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</si>
  <si>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</si>
  <si>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</si>
  <si>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</si>
  <si>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</si>
  <si>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</si>
  <si>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</si>
  <si>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</si>
  <si>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</si>
  <si>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</si>
  <si>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</si>
  <si>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</si>
  <si>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</si>
  <si>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</si>
  <si>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</si>
  <si>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</si>
  <si>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</si>
  <si>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</si>
  <si>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</si>
  <si>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</si>
  <si>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</si>
  <si>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</si>
  <si>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</si>
  <si>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</si>
  <si>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</si>
  <si>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</si>
  <si>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</si>
  <si>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</si>
  <si>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</si>
  <si>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</si>
  <si>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</si>
  <si>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</si>
  <si>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</si>
  <si>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</si>
  <si>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</si>
  <si>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</si>
  <si>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</si>
  <si>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</si>
  <si>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</si>
  <si>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</si>
  <si>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</si>
  <si>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</si>
  <si>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</si>
  <si>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</si>
  <si>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5.83</t>
  </si>
  <si>
    <t>10.47</t>
  </si>
  <si>
    <t>9.55</t>
  </si>
  <si>
    <t>9.76</t>
  </si>
  <si>
    <t>13.17</t>
  </si>
  <si>
    <t>16.45</t>
  </si>
  <si>
    <t>18.05</t>
  </si>
  <si>
    <t>17.47</t>
  </si>
  <si>
    <t>13.97</t>
  </si>
  <si>
    <t>10.37</t>
  </si>
  <si>
    <t>Tangible Book Value</t>
  </si>
  <si>
    <t>Tangible Book Value Per Share</t>
  </si>
  <si>
    <t>0.89</t>
  </si>
  <si>
    <t>-6.77</t>
  </si>
  <si>
    <t>-6.93</t>
  </si>
  <si>
    <t>-5.4</t>
  </si>
  <si>
    <t>-4.76</t>
  </si>
  <si>
    <t>-10.91</t>
  </si>
  <si>
    <t>-8.54</t>
  </si>
  <si>
    <t>-9.16</t>
  </si>
  <si>
    <t>-14.97</t>
  </si>
  <si>
    <t>-14.63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</si>
  <si>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</si>
  <si>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</si>
  <si>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</si>
  <si>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</si>
  <si>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</si>
  <si>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</si>
  <si>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</si>
  <si>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</si>
  <si>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</si>
  <si>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</si>
  <si>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</si>
  <si>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</si>
  <si>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</si>
  <si>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</si>
  <si>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</si>
  <si>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</si>
  <si>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</si>
  <si>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</si>
  <si>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</si>
  <si>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</si>
  <si>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</si>
  <si>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</si>
  <si>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</si>
  <si>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</si>
  <si>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</si>
  <si>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</si>
  <si>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</si>
  <si>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</si>
  <si>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</si>
  <si>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</si>
  <si>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</si>
  <si>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</si>
  <si>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</si>
  <si>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</si>
  <si>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</si>
  <si>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</si>
  <si>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</si>
  <si>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</si>
  <si>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</si>
  <si>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</si>
  <si>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</si>
  <si>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</si>
  <si>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</si>
  <si>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</si>
  <si>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</si>
  <si>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0.41</t>
  </si>
  <si>
    <t>0.12</t>
  </si>
  <si>
    <t>-1.3</t>
  </si>
  <si>
    <t>-0.08</t>
  </si>
  <si>
    <t>0.13</t>
  </si>
  <si>
    <t>-0.33</t>
  </si>
  <si>
    <t>-0.06</t>
  </si>
  <si>
    <t>0.24</t>
  </si>
  <si>
    <t>-1.47</t>
  </si>
  <si>
    <t>-4.38</t>
  </si>
  <si>
    <t>Basic EPS - Continuing Operations</t>
  </si>
  <si>
    <t>Basic Weighted Average Shares Outstanding</t>
  </si>
  <si>
    <t>Net EPS - Diluted</t>
  </si>
  <si>
    <t>0.38</t>
  </si>
  <si>
    <t>-1.59</t>
  </si>
  <si>
    <t>Diluted EPS - Continuing Operations</t>
  </si>
  <si>
    <t>Diluted Weighted Average Shares Outstanding</t>
  </si>
  <si>
    <t>Normalized Basic EPS</t>
  </si>
  <si>
    <t>0.43</t>
  </si>
  <si>
    <t>0.26</t>
  </si>
  <si>
    <t>-0.5</t>
  </si>
  <si>
    <t>0.03</t>
  </si>
  <si>
    <t>-0.04</t>
  </si>
  <si>
    <t>-0.38</t>
  </si>
  <si>
    <t>0.02</t>
  </si>
  <si>
    <t>-0.01</t>
  </si>
  <si>
    <t>0.3</t>
  </si>
  <si>
    <t>Normalized Diluted EPS</t>
  </si>
  <si>
    <t>0.4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</si>
  <si>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</si>
  <si>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</si>
  <si>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</si>
  <si>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</si>
  <si>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</si>
  <si>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</si>
  <si>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</si>
  <si>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37.89</t>
  </si>
  <si>
    <t>50.65</t>
  </si>
  <si>
    <t>-37.24</t>
  </si>
  <si>
    <t>-94.2</t>
  </si>
  <si>
    <t>143.77</t>
  </si>
  <si>
    <t>64.23</t>
  </si>
  <si>
    <t>67.13</t>
  </si>
  <si>
    <t>37.66</t>
  </si>
  <si>
    <t>-5.48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</si>
  <si>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</si>
  <si>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</si>
  <si>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</si>
  <si>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</si>
  <si>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</si>
  <si>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</si>
  <si>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</si>
  <si>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</si>
  <si>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</si>
  <si>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</si>
  <si>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</si>
  <si>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</si>
  <si>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</si>
  <si>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</si>
  <si>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</si>
  <si>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</si>
  <si>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</si>
  <si>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</si>
  <si>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</si>
  <si>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</si>
  <si>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</si>
  <si>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</si>
  <si>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</si>
  <si>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4.21</t>
  </si>
  <si>
    <t>2.39</t>
  </si>
  <si>
    <t>-1.28</t>
  </si>
  <si>
    <t>1.43</t>
  </si>
  <si>
    <t>0.22</t>
  </si>
  <si>
    <t>1.21</t>
  </si>
  <si>
    <t>1.65</t>
  </si>
  <si>
    <t>0.39</t>
  </si>
  <si>
    <t>1.38</t>
  </si>
  <si>
    <t>Return on Total Capital</t>
  </si>
  <si>
    <t>5.62</t>
  </si>
  <si>
    <t>2.91</t>
  </si>
  <si>
    <t>-1.56</t>
  </si>
  <si>
    <t>1.8</t>
  </si>
  <si>
    <t>1.23</t>
  </si>
  <si>
    <t>1.41</t>
  </si>
  <si>
    <t>1.92</t>
  </si>
  <si>
    <t>0.46</t>
  </si>
  <si>
    <t>1.64</t>
  </si>
  <si>
    <t>Return On Equity %</t>
  </si>
  <si>
    <t>7.99</t>
  </si>
  <si>
    <t>-13.03</t>
  </si>
  <si>
    <t>-0.77</t>
  </si>
  <si>
    <t>0.75</t>
  </si>
  <si>
    <t>-2.29</t>
  </si>
  <si>
    <t>-0.29</t>
  </si>
  <si>
    <t>1.31</t>
  </si>
  <si>
    <t>-9.9</t>
  </si>
  <si>
    <t>-36.62</t>
  </si>
  <si>
    <t>Return on Common Equity</t>
  </si>
  <si>
    <t>8.12</t>
  </si>
  <si>
    <t>-13.04</t>
  </si>
  <si>
    <t>1.08</t>
  </si>
  <si>
    <t>-2.23</t>
  </si>
  <si>
    <t>-0.34</t>
  </si>
  <si>
    <t>-9.46</t>
  </si>
  <si>
    <t>-36.09</t>
  </si>
  <si>
    <t>Margin Analysis</t>
  </si>
  <si>
    <t>Gross Profit Margin %</t>
  </si>
  <si>
    <t>27.02</t>
  </si>
  <si>
    <t>28.47</t>
  </si>
  <si>
    <t>26.98</t>
  </si>
  <si>
    <t>29.29</t>
  </si>
  <si>
    <t>28.53</t>
  </si>
  <si>
    <t>27.39</t>
  </si>
  <si>
    <t>29.39</t>
  </si>
  <si>
    <t>27.81</t>
  </si>
  <si>
    <t>25.06</t>
  </si>
  <si>
    <t>29.15</t>
  </si>
  <si>
    <t>SG&amp;A Margin</t>
  </si>
  <si>
    <t>15.29</t>
  </si>
  <si>
    <t>15.82</t>
  </si>
  <si>
    <t>19.01</t>
  </si>
  <si>
    <t>17.14</t>
  </si>
  <si>
    <t>16.82</t>
  </si>
  <si>
    <t>15.53</t>
  </si>
  <si>
    <t>14.42</t>
  </si>
  <si>
    <t>13.42</t>
  </si>
  <si>
    <t>15.15</t>
  </si>
  <si>
    <t>EBITDA Margin %</t>
  </si>
  <si>
    <t>11.18</t>
  </si>
  <si>
    <t>12.02</t>
  </si>
  <si>
    <t>7.34</t>
  </si>
  <si>
    <t>11.32</t>
  </si>
  <si>
    <t>10.72</t>
  </si>
  <si>
    <t>10.52</t>
  </si>
  <si>
    <t>13.35</t>
  </si>
  <si>
    <t>12.4</t>
  </si>
  <si>
    <t>8.66</t>
  </si>
  <si>
    <t>9.79</t>
  </si>
  <si>
    <t>EBITA Margin %</t>
  </si>
  <si>
    <t>9.43</t>
  </si>
  <si>
    <t>10.2</t>
  </si>
  <si>
    <t>4.77</t>
  </si>
  <si>
    <t>9.07</t>
  </si>
  <si>
    <t>8.78</t>
  </si>
  <si>
    <t>8.22</t>
  </si>
  <si>
    <t>11.2</t>
  </si>
  <si>
    <t>10.67</t>
  </si>
  <si>
    <t>6.91</t>
  </si>
  <si>
    <t>8.59</t>
  </si>
  <si>
    <t>EBIT Margin %</t>
  </si>
  <si>
    <t>6.38</t>
  </si>
  <si>
    <t>6.01</t>
  </si>
  <si>
    <t>-3.1</t>
  </si>
  <si>
    <t>2.15</t>
  </si>
  <si>
    <t>0.61</t>
  </si>
  <si>
    <t>3.83</t>
  </si>
  <si>
    <t>4.89</t>
  </si>
  <si>
    <t>1.11</t>
  </si>
  <si>
    <t>3.54</t>
  </si>
  <si>
    <t>Income From Continuing Operations Margin %</t>
  </si>
  <si>
    <t>4.01</t>
  </si>
  <si>
    <t>1.05</t>
  </si>
  <si>
    <t>-9.61</t>
  </si>
  <si>
    <t>-0.48</t>
  </si>
  <si>
    <t>0.49</t>
  </si>
  <si>
    <t>-1.91</t>
  </si>
  <si>
    <t>-0.26</t>
  </si>
  <si>
    <t>1.07</t>
  </si>
  <si>
    <t>-6.89</t>
  </si>
  <si>
    <t>-19.73</t>
  </si>
  <si>
    <t>Net Income Margin %</t>
  </si>
  <si>
    <t>4.06</t>
  </si>
  <si>
    <t>0.71</t>
  </si>
  <si>
    <t>-1.86</t>
  </si>
  <si>
    <t>-0.31</t>
  </si>
  <si>
    <t>1.12</t>
  </si>
  <si>
    <t>-6.53</t>
  </si>
  <si>
    <t>-19.16</t>
  </si>
  <si>
    <t>Net Avail. For Common Margin %</t>
  </si>
  <si>
    <t>Normalized Net Income Margin</t>
  </si>
  <si>
    <t>4.27</t>
  </si>
  <si>
    <t>2.27</t>
  </si>
  <si>
    <t>-3.7</t>
  </si>
  <si>
    <t>0.16</t>
  </si>
  <si>
    <t>-0.23</t>
  </si>
  <si>
    <t>-2.14</t>
  </si>
  <si>
    <t>0.1</t>
  </si>
  <si>
    <t>1.89</t>
  </si>
  <si>
    <t>-0.05</t>
  </si>
  <si>
    <t>1.32</t>
  </si>
  <si>
    <t>Levered Free Cash Flow Margin</t>
  </si>
  <si>
    <t>12.3</t>
  </si>
  <si>
    <t>11.93</t>
  </si>
  <si>
    <t>10.21</t>
  </si>
  <si>
    <t>11.79</t>
  </si>
  <si>
    <t>10.48</t>
  </si>
  <si>
    <t>9.87</t>
  </si>
  <si>
    <t>11.7</t>
  </si>
  <si>
    <t>11.35</t>
  </si>
  <si>
    <t>6.13</t>
  </si>
  <si>
    <t>5.54</t>
  </si>
  <si>
    <t>Unlevered Free Cash Flow Margin</t>
  </si>
  <si>
    <t>12.42</t>
  </si>
  <si>
    <t>13.46</t>
  </si>
  <si>
    <t>13.29</t>
  </si>
  <si>
    <t>12.13</t>
  </si>
  <si>
    <t>13.67</t>
  </si>
  <si>
    <t>12.24</t>
  </si>
  <si>
    <t>6.98</t>
  </si>
  <si>
    <t>6.8</t>
  </si>
  <si>
    <t>Asset Turnover</t>
  </si>
  <si>
    <t>1.06</t>
  </si>
  <si>
    <t>0.64</t>
  </si>
  <si>
    <t>0.66</t>
  </si>
  <si>
    <t>0.79</t>
  </si>
  <si>
    <t>0.58</t>
  </si>
  <si>
    <t>0.51</t>
  </si>
  <si>
    <t>0.54</t>
  </si>
  <si>
    <t>0.57</t>
  </si>
  <si>
    <t>0.62</t>
  </si>
  <si>
    <t>Fixed Assets Turnover</t>
  </si>
  <si>
    <t>23.73</t>
  </si>
  <si>
    <t>18.58</t>
  </si>
  <si>
    <t>18.75</t>
  </si>
  <si>
    <t>19.84</t>
  </si>
  <si>
    <t>20.08</t>
  </si>
  <si>
    <t>9.92</t>
  </si>
  <si>
    <t>6.89</t>
  </si>
  <si>
    <t>8.07</t>
  </si>
  <si>
    <t>8.7</t>
  </si>
  <si>
    <t>10.07</t>
  </si>
  <si>
    <t>Receivables Turnover (Average Receivables)</t>
  </si>
  <si>
    <t>17.35</t>
  </si>
  <si>
    <t>12.55</t>
  </si>
  <si>
    <t>12.7</t>
  </si>
  <si>
    <t>14.27</t>
  </si>
  <si>
    <t>13.59</t>
  </si>
  <si>
    <t>13.25</t>
  </si>
  <si>
    <t>13.5</t>
  </si>
  <si>
    <t>13.53</t>
  </si>
  <si>
    <t>12.59</t>
  </si>
  <si>
    <t>11.19</t>
  </si>
  <si>
    <t>Short Term Liquidity</t>
  </si>
  <si>
    <t>Current Ratio</t>
  </si>
  <si>
    <t>3.74</t>
  </si>
  <si>
    <t>1.02</t>
  </si>
  <si>
    <t>0.73</t>
  </si>
  <si>
    <t>0.93</t>
  </si>
  <si>
    <t>0.9</t>
  </si>
  <si>
    <t>2.14</t>
  </si>
  <si>
    <t>1.96</t>
  </si>
  <si>
    <t>Quick Ratio</t>
  </si>
  <si>
    <t>3.56</t>
  </si>
  <si>
    <t>0.88</t>
  </si>
  <si>
    <t>0.83</t>
  </si>
  <si>
    <t>0.76</t>
  </si>
  <si>
    <t>1.85</t>
  </si>
  <si>
    <t>0.82</t>
  </si>
  <si>
    <t>0.74</t>
  </si>
  <si>
    <t>Operating Cash Flow to Current Liabilities</t>
  </si>
  <si>
    <t>0.87</t>
  </si>
  <si>
    <t>0.77</t>
  </si>
  <si>
    <t>0.34</t>
  </si>
  <si>
    <t>0.53</t>
  </si>
  <si>
    <t>0.72</t>
  </si>
  <si>
    <t>0.36</t>
  </si>
  <si>
    <t>Days Sales Outstanding (Average Receivables)</t>
  </si>
  <si>
    <t>21.03</t>
  </si>
  <si>
    <t>29.09</t>
  </si>
  <si>
    <t>28.81</t>
  </si>
  <si>
    <t>25.57</t>
  </si>
  <si>
    <t>26.85</t>
  </si>
  <si>
    <t>27.54</t>
  </si>
  <si>
    <t>27.11</t>
  </si>
  <si>
    <t>26.97</t>
  </si>
  <si>
    <t>32.62</t>
  </si>
  <si>
    <t>Average Days Payable Outstanding</t>
  </si>
  <si>
    <t>7.45</t>
  </si>
  <si>
    <t>9.27</t>
  </si>
  <si>
    <t>9.49</t>
  </si>
  <si>
    <t>8.52</t>
  </si>
  <si>
    <t>9.64</t>
  </si>
  <si>
    <t>10.29</t>
  </si>
  <si>
    <t>9.16</t>
  </si>
  <si>
    <t>7.9</t>
  </si>
  <si>
    <t>7.16</t>
  </si>
  <si>
    <t>9.72</t>
  </si>
  <si>
    <t>Long Term Solvency</t>
  </si>
  <si>
    <t>Total Debt/Equity</t>
  </si>
  <si>
    <t>71.89</t>
  </si>
  <si>
    <t>68.22</t>
  </si>
  <si>
    <t>70.44</t>
  </si>
  <si>
    <t>72.78</t>
  </si>
  <si>
    <t>76.96</t>
  </si>
  <si>
    <t>90.42</t>
  </si>
  <si>
    <t>100.65</t>
  </si>
  <si>
    <t>135.39</t>
  </si>
  <si>
    <t>172.38</t>
  </si>
  <si>
    <t>Total Debt / Total Capital</t>
  </si>
  <si>
    <t>41.82</t>
  </si>
  <si>
    <t>40.56</t>
  </si>
  <si>
    <t>41.33</t>
  </si>
  <si>
    <t>35.48</t>
  </si>
  <si>
    <t>42.12</t>
  </si>
  <si>
    <t>43.49</t>
  </si>
  <si>
    <t>47.48</t>
  </si>
  <si>
    <t>50.16</t>
  </si>
  <si>
    <t>57.52</t>
  </si>
  <si>
    <t>63.29</t>
  </si>
  <si>
    <t>LT Debt/Equity</t>
  </si>
  <si>
    <t>61.21</t>
  </si>
  <si>
    <t>46.59</t>
  </si>
  <si>
    <t>75.37</t>
  </si>
  <si>
    <t>89.02</t>
  </si>
  <si>
    <t>99.5</t>
  </si>
  <si>
    <t>127.99</t>
  </si>
  <si>
    <t>170.14</t>
  </si>
  <si>
    <t>Long-Term Debt / Total Capital</t>
  </si>
  <si>
    <t>35.92</t>
  </si>
  <si>
    <t>26.96</t>
  </si>
  <si>
    <t>42.59</t>
  </si>
  <si>
    <t>46.75</t>
  </si>
  <si>
    <t>49.59</t>
  </si>
  <si>
    <t>54.37</t>
  </si>
  <si>
    <t>62.46</t>
  </si>
  <si>
    <t>Total Liabilities / Total Assets</t>
  </si>
  <si>
    <t>54.03</t>
  </si>
  <si>
    <t>50.32</t>
  </si>
  <si>
    <t>52.63</t>
  </si>
  <si>
    <t>49.35</t>
  </si>
  <si>
    <t>51.85</t>
  </si>
  <si>
    <t>54.49</t>
  </si>
  <si>
    <t>57.19</t>
  </si>
  <si>
    <t>63.66</t>
  </si>
  <si>
    <t>69.4</t>
  </si>
  <si>
    <t>EBIT / Interest Expense</t>
  </si>
  <si>
    <t>35.54</t>
  </si>
  <si>
    <t>2.46</t>
  </si>
  <si>
    <t>-1.08</t>
  </si>
  <si>
    <t>1.22</t>
  </si>
  <si>
    <t>0.69</t>
  </si>
  <si>
    <t>0.17</t>
  </si>
  <si>
    <t>3.42</t>
  </si>
  <si>
    <t>1.76</t>
  </si>
  <si>
    <t>EBITDA / Interest Expense</t>
  </si>
  <si>
    <t>62.27</t>
  </si>
  <si>
    <t>4.93</t>
  </si>
  <si>
    <t>2.56</t>
  </si>
  <si>
    <t>4.74</t>
  </si>
  <si>
    <t>3.46</t>
  </si>
  <si>
    <t>3.6</t>
  </si>
  <si>
    <t>4.94</t>
  </si>
  <si>
    <t>10.08</t>
  </si>
  <si>
    <t>8.01</t>
  </si>
  <si>
    <t>6.2</t>
  </si>
  <si>
    <t>(EBITDA - Capex) / Interest Expense</t>
  </si>
  <si>
    <t>52.4</t>
  </si>
  <si>
    <t>4.03</t>
  </si>
  <si>
    <t>1.72</t>
  </si>
  <si>
    <t>3.82</t>
  </si>
  <si>
    <t>2.64</t>
  </si>
  <si>
    <t>2.99</t>
  </si>
  <si>
    <t>4.55</t>
  </si>
  <si>
    <t>8.68</t>
  </si>
  <si>
    <t>7.05</t>
  </si>
  <si>
    <t>5.44</t>
  </si>
  <si>
    <t>Total Debt / EBITDA</t>
  </si>
  <si>
    <t>3.72</t>
  </si>
  <si>
    <t>5.93</t>
  </si>
  <si>
    <t>6.86</t>
  </si>
  <si>
    <t>3.1</t>
  </si>
  <si>
    <t>5.29</t>
  </si>
  <si>
    <t>5.7</t>
  </si>
  <si>
    <t>5.67</t>
  </si>
  <si>
    <t>5.66</t>
  </si>
  <si>
    <t>7.7</t>
  </si>
  <si>
    <t>6.36</t>
  </si>
  <si>
    <t>Net Debt / EBITDA</t>
  </si>
  <si>
    <t>-1.66</t>
  </si>
  <si>
    <t>4.91</t>
  </si>
  <si>
    <t>2.33</t>
  </si>
  <si>
    <t>3.2</t>
  </si>
  <si>
    <t>3.14</t>
  </si>
  <si>
    <t>6.5</t>
  </si>
  <si>
    <t>5.77</t>
  </si>
  <si>
    <t>Total Debt / (EBITDA - Capex)</t>
  </si>
  <si>
    <t>4.43</t>
  </si>
  <si>
    <t>7.25</t>
  </si>
  <si>
    <t>10.23</t>
  </si>
  <si>
    <t>3.84</t>
  </si>
  <si>
    <t>6.92</t>
  </si>
  <si>
    <t>6.15</t>
  </si>
  <si>
    <t>6.57</t>
  </si>
  <si>
    <t>8.75</t>
  </si>
  <si>
    <t>7.24</t>
  </si>
  <si>
    <t>Net Debt / (EBITDA - Capex)</t>
  </si>
  <si>
    <t>-1.97</t>
  </si>
  <si>
    <t>8.38</t>
  </si>
  <si>
    <t>2.88</t>
  </si>
  <si>
    <t>2.57</t>
  </si>
  <si>
    <t>3.47</t>
  </si>
  <si>
    <t>3.65</t>
  </si>
  <si>
    <t>7.39</t>
  </si>
  <si>
    <t>Growth Over Prior Year</t>
  </si>
  <si>
    <t>Total Revenues, 1 Yr. Growth %</t>
  </si>
  <si>
    <t>43.79</t>
  </si>
  <si>
    <t>20.69</t>
  </si>
  <si>
    <t>37.36</t>
  </si>
  <si>
    <t>18.25</t>
  </si>
  <si>
    <t>18.82</t>
  </si>
  <si>
    <t>10.8</t>
  </si>
  <si>
    <t>10.9</t>
  </si>
  <si>
    <t>18.86</t>
  </si>
  <si>
    <t>4.49</t>
  </si>
  <si>
    <t>0.47</t>
  </si>
  <si>
    <t>Gross Profit, 1 Yr. Growth %</t>
  </si>
  <si>
    <t>42.5</t>
  </si>
  <si>
    <t>27.2</t>
  </si>
  <si>
    <t>30.15</t>
  </si>
  <si>
    <t>28.37</t>
  </si>
  <si>
    <t>15.74</t>
  </si>
  <si>
    <t>18.97</t>
  </si>
  <si>
    <t>12.49</t>
  </si>
  <si>
    <t>-8.96</t>
  </si>
  <si>
    <t>17.62</t>
  </si>
  <si>
    <t>EBITDA, 1 Yr. Growth %</t>
  </si>
  <si>
    <t>61.44</t>
  </si>
  <si>
    <t>29.83</t>
  </si>
  <si>
    <t>-16.15</t>
  </si>
  <si>
    <t>63.58</t>
  </si>
  <si>
    <t>14.62</t>
  </si>
  <si>
    <t>11.03</t>
  </si>
  <si>
    <t>13.75</t>
  </si>
  <si>
    <t>10.45</t>
  </si>
  <si>
    <t>-32.93</t>
  </si>
  <si>
    <t>18.91</t>
  </si>
  <si>
    <t>EBITA, 1 Yr. Growth %</t>
  </si>
  <si>
    <t>73.16</t>
  </si>
  <si>
    <t>30.55</t>
  </si>
  <si>
    <t>-35.73</t>
  </si>
  <si>
    <t>90.94</t>
  </si>
  <si>
    <t>17.75</t>
  </si>
  <si>
    <t>6.29</t>
  </si>
  <si>
    <t>16.04</t>
  </si>
  <si>
    <t>13.22</t>
  </si>
  <si>
    <t>-38.58</t>
  </si>
  <si>
    <t>EBIT, 1 Yr. Growth %</t>
  </si>
  <si>
    <t>111.04</t>
  </si>
  <si>
    <t>13.73</t>
  </si>
  <si>
    <t>-170.81</t>
  </si>
  <si>
    <t>-252.67</t>
  </si>
  <si>
    <t>-5.29</t>
  </si>
  <si>
    <t>-65.02</t>
  </si>
  <si>
    <t>37.09</t>
  </si>
  <si>
    <t>51.66</t>
  </si>
  <si>
    <t>-80.61</t>
  </si>
  <si>
    <t>221.24</t>
  </si>
  <si>
    <t>Earnings From Cont. Operations, 1 Yr. Growth %</t>
  </si>
  <si>
    <t>281.94</t>
  </si>
  <si>
    <t>-68.27</t>
  </si>
  <si>
    <t>-94.1</t>
  </si>
  <si>
    <t>-222.26</t>
  </si>
  <si>
    <t>-528.98</t>
  </si>
  <si>
    <t>-84.63</t>
  </si>
  <si>
    <t>-580.11</t>
  </si>
  <si>
    <t>-773.39</t>
  </si>
  <si>
    <t>187.52</t>
  </si>
  <si>
    <t>Net Income, 1 Yr. Growth %</t>
  </si>
  <si>
    <t>287.27</t>
  </si>
  <si>
    <t>-68.7</t>
  </si>
  <si>
    <t>-275.46</t>
  </si>
  <si>
    <t>-391.61</t>
  </si>
  <si>
    <t>-81.47</t>
  </si>
  <si>
    <t>-527.52</t>
  </si>
  <si>
    <t>-708.75</t>
  </si>
  <si>
    <t>194.94</t>
  </si>
  <si>
    <t>Normalized Net Income, 1 Yr. Growth %</t>
  </si>
  <si>
    <t>121.7</t>
  </si>
  <si>
    <t>-35.76</t>
  </si>
  <si>
    <t>-323.72</t>
  </si>
  <si>
    <t>-105.82</t>
  </si>
  <si>
    <t>-964.02</t>
  </si>
  <si>
    <t>540.97</t>
  </si>
  <si>
    <t>-146.64</t>
  </si>
  <si>
    <t>-101.77</t>
  </si>
  <si>
    <t>Diluted EPS Before Extra, 1 Yr. Growth %</t>
  </si>
  <si>
    <t>-68.42</t>
  </si>
  <si>
    <t>-93.85</t>
  </si>
  <si>
    <t>-81.82</t>
  </si>
  <si>
    <t>-763.12</t>
  </si>
  <si>
    <t>175.45</t>
  </si>
  <si>
    <t>Accounts Receivable, 1 Yr. Growth %</t>
  </si>
  <si>
    <t>2.5</t>
  </si>
  <si>
    <t>129.82</t>
  </si>
  <si>
    <t>-5.32</t>
  </si>
  <si>
    <t>16.39</t>
  </si>
  <si>
    <t>31.99</t>
  </si>
  <si>
    <t>-0.28</t>
  </si>
  <si>
    <t>18.06</t>
  </si>
  <si>
    <t>19.02</t>
  </si>
  <si>
    <t>6.72</t>
  </si>
  <si>
    <t>18.94</t>
  </si>
  <si>
    <t>Net Property, Plant and Equip., 1 Yr. Growth %</t>
  </si>
  <si>
    <t>30.26</t>
  </si>
  <si>
    <t>72.48</t>
  </si>
  <si>
    <t>15.06</t>
  </si>
  <si>
    <t>8.82</t>
  </si>
  <si>
    <t>25.29</t>
  </si>
  <si>
    <t>203.51</t>
  </si>
  <si>
    <t>12.2</t>
  </si>
  <si>
    <t>-8.02</t>
  </si>
  <si>
    <t>2.21</t>
  </si>
  <si>
    <t>-9.76</t>
  </si>
  <si>
    <t>Total Assets, 1 Yr. Growth %</t>
  </si>
  <si>
    <t>98.59</t>
  </si>
  <si>
    <t>101.56</t>
  </si>
  <si>
    <t>-0.44</t>
  </si>
  <si>
    <t>-1.19</t>
  </si>
  <si>
    <t>37.16</t>
  </si>
  <si>
    <t>4.52</t>
  </si>
  <si>
    <t>-5.76</t>
  </si>
  <si>
    <t>-11.12</t>
  </si>
  <si>
    <t>Tangible Book Value, 1 Yr. Growth %</t>
  </si>
  <si>
    <t>-3.8</t>
  </si>
  <si>
    <t>5.33</t>
  </si>
  <si>
    <t>-19.33</t>
  </si>
  <si>
    <t>-5.27</t>
  </si>
  <si>
    <t>151.96</t>
  </si>
  <si>
    <t>-19.88</t>
  </si>
  <si>
    <t>8.69</t>
  </si>
  <si>
    <t>-0.9</t>
  </si>
  <si>
    <t>Common Equity, 1 Yr. Growth %</t>
  </si>
  <si>
    <t>36.31</t>
  </si>
  <si>
    <t>118.2</t>
  </si>
  <si>
    <t>-6.06</t>
  </si>
  <si>
    <t>45.25</t>
  </si>
  <si>
    <t>37.15</t>
  </si>
  <si>
    <t>12.34</t>
  </si>
  <si>
    <t>-21.16</t>
  </si>
  <si>
    <t>-24.7</t>
  </si>
  <si>
    <t>Cash From Operations, 1 Yr. Growth %</t>
  </si>
  <si>
    <t>94.05</t>
  </si>
  <si>
    <t>-56.38</t>
  </si>
  <si>
    <t>214.45</t>
  </si>
  <si>
    <t>33.64</t>
  </si>
  <si>
    <t>8.44</t>
  </si>
  <si>
    <t>-7.38</t>
  </si>
  <si>
    <t>56.21</t>
  </si>
  <si>
    <t>47.54</t>
  </si>
  <si>
    <t>-53.29</t>
  </si>
  <si>
    <t>57.46</t>
  </si>
  <si>
    <t>Capital Expenditures, 1 Yr. Growth %</t>
  </si>
  <si>
    <t>0.85</t>
  </si>
  <si>
    <t>48.68</t>
  </si>
  <si>
    <t>52.08</t>
  </si>
  <si>
    <t>37.33</t>
  </si>
  <si>
    <t>-3.3</t>
  </si>
  <si>
    <t>-39.09</t>
  </si>
  <si>
    <t>96.32</t>
  </si>
  <si>
    <t>-31.85</t>
  </si>
  <si>
    <t>17.46</t>
  </si>
  <si>
    <t>Levered Free Cash Flow, 1 Yr. Growth %</t>
  </si>
  <si>
    <t>44.25</t>
  </si>
  <si>
    <t>5.61</t>
  </si>
  <si>
    <t>13.11</t>
  </si>
  <si>
    <t>29.52</t>
  </si>
  <si>
    <t>6.75</t>
  </si>
  <si>
    <t>5.73</t>
  </si>
  <si>
    <t>13.55</t>
  </si>
  <si>
    <t>12.11</t>
  </si>
  <si>
    <t>-46.71</t>
  </si>
  <si>
    <t>12.57</t>
  </si>
  <si>
    <t>Unlevered Free Cash Flow, 1 Yr. Growth %</t>
  </si>
  <si>
    <t>45.56</t>
  </si>
  <si>
    <t>18.14</t>
  </si>
  <si>
    <t>18.42</t>
  </si>
  <si>
    <t>25.08</t>
  </si>
  <si>
    <t>12.14</t>
  </si>
  <si>
    <t>9.41</t>
  </si>
  <si>
    <t>10.79</t>
  </si>
  <si>
    <t>3.89</t>
  </si>
  <si>
    <t>-43.52</t>
  </si>
  <si>
    <t>17.95</t>
  </si>
  <si>
    <t>Compound Annual Growth Rate Over Two Years</t>
  </si>
  <si>
    <t>Total Revenues, 2 Yr. CAGR %</t>
  </si>
  <si>
    <t>48.92</t>
  </si>
  <si>
    <t>31.74</t>
  </si>
  <si>
    <t>28.76</t>
  </si>
  <si>
    <t>27.45</t>
  </si>
  <si>
    <t>18.54</t>
  </si>
  <si>
    <t>14.74</t>
  </si>
  <si>
    <t>10.85</t>
  </si>
  <si>
    <t>14.81</t>
  </si>
  <si>
    <t>11.44</t>
  </si>
  <si>
    <t>Gross Profit, 2 Yr. CAGR %</t>
  </si>
  <si>
    <t>42.85</t>
  </si>
  <si>
    <t>34.63</t>
  </si>
  <si>
    <t>28.67</t>
  </si>
  <si>
    <t>29.26</t>
  </si>
  <si>
    <t>21.89</t>
  </si>
  <si>
    <t>10.96</t>
  </si>
  <si>
    <t>12.5</t>
  </si>
  <si>
    <t>15.68</t>
  </si>
  <si>
    <t>-1.22</t>
  </si>
  <si>
    <t>3.15</t>
  </si>
  <si>
    <t>EBITDA, 2 Yr. CAGR %</t>
  </si>
  <si>
    <t>54.53</t>
  </si>
  <si>
    <t>44.77</t>
  </si>
  <si>
    <t>4.34</t>
  </si>
  <si>
    <t>28.02</t>
  </si>
  <si>
    <t>39.75</t>
  </si>
  <si>
    <t>12.41</t>
  </si>
  <si>
    <t>15.81</t>
  </si>
  <si>
    <t>12.1</t>
  </si>
  <si>
    <t>-18.35</t>
  </si>
  <si>
    <t>-12.68</t>
  </si>
  <si>
    <t>EBITA, 2 Yr. CAGR %</t>
  </si>
  <si>
    <t>68.11</t>
  </si>
  <si>
    <t>50.35</t>
  </si>
  <si>
    <t>-8.4</t>
  </si>
  <si>
    <t>25.21</t>
  </si>
  <si>
    <t>54.86</t>
  </si>
  <si>
    <t>11.41</t>
  </si>
  <si>
    <t>15.64</t>
  </si>
  <si>
    <t>14.63</t>
  </si>
  <si>
    <t>-21.66</t>
  </si>
  <si>
    <t>-12.38</t>
  </si>
  <si>
    <t>EBIT, 2 Yr. CAGR %</t>
  </si>
  <si>
    <t>101.61</t>
  </si>
  <si>
    <t>54.92</t>
  </si>
  <si>
    <t>-10.26</t>
  </si>
  <si>
    <t>-4.75</t>
  </si>
  <si>
    <t>5.31</t>
  </si>
  <si>
    <t>-43.86</t>
  </si>
  <si>
    <t>13.39</t>
  </si>
  <si>
    <t>44.24</t>
  </si>
  <si>
    <t>-54.38</t>
  </si>
  <si>
    <t>-21.09</t>
  </si>
  <si>
    <t>Earnings From Cont. Operations, 2 Yr. CAGR %</t>
  </si>
  <si>
    <t>448.29</t>
  </si>
  <si>
    <t>10.09</t>
  </si>
  <si>
    <t>99.37</t>
  </si>
  <si>
    <t>-14.01</t>
  </si>
  <si>
    <t>-73.14</t>
  </si>
  <si>
    <t>129.01</t>
  </si>
  <si>
    <t>-18.8</t>
  </si>
  <si>
    <t>-14.1</t>
  </si>
  <si>
    <t>468.59</t>
  </si>
  <si>
    <t>340.02</t>
  </si>
  <si>
    <t>Net Income, 2 Yr. CAGR %</t>
  </si>
  <si>
    <t>452.1</t>
  </si>
  <si>
    <t>-67.82</t>
  </si>
  <si>
    <t>126.2</t>
  </si>
  <si>
    <t>-26.49</t>
  </si>
  <si>
    <t>-10.99</t>
  </si>
  <si>
    <t>410.15</t>
  </si>
  <si>
    <t>323.73</t>
  </si>
  <si>
    <t>Normalized Net Income, 2 Yr. CAGR %</t>
  </si>
  <si>
    <t>108.1</t>
  </si>
  <si>
    <t>19.34</t>
  </si>
  <si>
    <t>19.88</t>
  </si>
  <si>
    <t>-61.29</t>
  </si>
  <si>
    <t>-69.81</t>
  </si>
  <si>
    <t>585.77</t>
  </si>
  <si>
    <t>-58.18</t>
  </si>
  <si>
    <t>220.3</t>
  </si>
  <si>
    <t>-82.85</t>
  </si>
  <si>
    <t>-28.58</t>
  </si>
  <si>
    <t>Diluted EPS Before Extra, 2 Yr. CAGR %</t>
  </si>
  <si>
    <t>516.47</t>
  </si>
  <si>
    <t>9.54</t>
  </si>
  <si>
    <t>84.96</t>
  </si>
  <si>
    <t>-69.62</t>
  </si>
  <si>
    <t>103.1</t>
  </si>
  <si>
    <t>-29.29</t>
  </si>
  <si>
    <t>-14.72</t>
  </si>
  <si>
    <t>415.02</t>
  </si>
  <si>
    <t>327.38</t>
  </si>
  <si>
    <t>Accounts Receivable, 2 Yr. CAGR %</t>
  </si>
  <si>
    <t>48.81</t>
  </si>
  <si>
    <t>53.48</t>
  </si>
  <si>
    <t>47.51</t>
  </si>
  <si>
    <t>4.97</t>
  </si>
  <si>
    <t>23.94</t>
  </si>
  <si>
    <t>14.73</t>
  </si>
  <si>
    <t>8.51</t>
  </si>
  <si>
    <t>12.67</t>
  </si>
  <si>
    <t>Net Property, Plant and Equip., 2 Yr. CAGR %</t>
  </si>
  <si>
    <t>18.76</t>
  </si>
  <si>
    <t>49.89</t>
  </si>
  <si>
    <t>40.87</t>
  </si>
  <si>
    <t>11.89</t>
  </si>
  <si>
    <t>16.76</t>
  </si>
  <si>
    <t>95.01</t>
  </si>
  <si>
    <t>84.54</t>
  </si>
  <si>
    <t>1.59</t>
  </si>
  <si>
    <t>-3.04</t>
  </si>
  <si>
    <t>-8.74</t>
  </si>
  <si>
    <t>Total Assets, 2 Yr. CAGR %</t>
  </si>
  <si>
    <t>64.48</t>
  </si>
  <si>
    <t>100.07</t>
  </si>
  <si>
    <t>40.91</t>
  </si>
  <si>
    <t>-0.81</t>
  </si>
  <si>
    <t>22.72</t>
  </si>
  <si>
    <t>44.58</t>
  </si>
  <si>
    <t>27.76</t>
  </si>
  <si>
    <t>11.53</t>
  </si>
  <si>
    <t>-0.75</t>
  </si>
  <si>
    <t>-8.48</t>
  </si>
  <si>
    <t>Tangible Book Value, 2 Yr. CAGR %</t>
  </si>
  <si>
    <t>3.24</t>
  </si>
  <si>
    <t>198.08</t>
  </si>
  <si>
    <t>211.91</t>
  </si>
  <si>
    <t>-7.82</t>
  </si>
  <si>
    <t>-12.58</t>
  </si>
  <si>
    <t>42.08</t>
  </si>
  <si>
    <t>-6.68</t>
  </si>
  <si>
    <t>32.28</t>
  </si>
  <si>
    <t>26.31</t>
  </si>
  <si>
    <t>Common Equity, 2 Yr. CAGR %</t>
  </si>
  <si>
    <t>26.44</t>
  </si>
  <si>
    <t>72.46</t>
  </si>
  <si>
    <t>43.17</t>
  </si>
  <si>
    <t>-0.37</t>
  </si>
  <si>
    <t>23.89</t>
  </si>
  <si>
    <t>41.14</t>
  </si>
  <si>
    <t>24.12</t>
  </si>
  <si>
    <t>-12.09</t>
  </si>
  <si>
    <t>-22.95</t>
  </si>
  <si>
    <t>Cash From Operations, 2 Yr. CAGR %</t>
  </si>
  <si>
    <t>40.05</t>
  </si>
  <si>
    <t>-7.99</t>
  </si>
  <si>
    <t>17.12</t>
  </si>
  <si>
    <t>60.74</t>
  </si>
  <si>
    <t>20.28</t>
  </si>
  <si>
    <t>51.81</t>
  </si>
  <si>
    <t>-16.99</t>
  </si>
  <si>
    <t>-21.38</t>
  </si>
  <si>
    <t>Capital Expenditures, 2 Yr. CAGR %</t>
  </si>
  <si>
    <t>12.99</t>
  </si>
  <si>
    <t>22.45</t>
  </si>
  <si>
    <t>50.37</t>
  </si>
  <si>
    <t>27.57</t>
  </si>
  <si>
    <t>21.22</t>
  </si>
  <si>
    <t>15.24</t>
  </si>
  <si>
    <t>-23.26</t>
  </si>
  <si>
    <t>9.35</t>
  </si>
  <si>
    <t>15.67</t>
  </si>
  <si>
    <t>-10.53</t>
  </si>
  <si>
    <t>Levered Free Cash Flow, 2 Yr. CAGR %</t>
  </si>
  <si>
    <t>22.97</t>
  </si>
  <si>
    <t>29.95</t>
  </si>
  <si>
    <t>11.38</t>
  </si>
  <si>
    <t>26.91</t>
  </si>
  <si>
    <t>18.57</t>
  </si>
  <si>
    <t>5.97</t>
  </si>
  <si>
    <t>12.18</t>
  </si>
  <si>
    <t>11.24</t>
  </si>
  <si>
    <t>-25.62</t>
  </si>
  <si>
    <t>-29.73</t>
  </si>
  <si>
    <t>Unlevered Free Cash Flow, 2 Yr. CAGR %</t>
  </si>
  <si>
    <t>23.52</t>
  </si>
  <si>
    <t>26.82</t>
  </si>
  <si>
    <t>19.26</t>
  </si>
  <si>
    <t>10.55</t>
  </si>
  <si>
    <t>12.12</t>
  </si>
  <si>
    <t>6.05</t>
  </si>
  <si>
    <t>-25.78</t>
  </si>
  <si>
    <t>-24.93</t>
  </si>
  <si>
    <t>Compound Annual Growth Rate Over Three Years</t>
  </si>
  <si>
    <t>Total Revenues, 3 Yr. CAGR %</t>
  </si>
  <si>
    <t>41.47</t>
  </si>
  <si>
    <t>38.84</t>
  </si>
  <si>
    <t>33.59</t>
  </si>
  <si>
    <t>25.15</t>
  </si>
  <si>
    <t>24.5</t>
  </si>
  <si>
    <t>15.9</t>
  </si>
  <si>
    <t>13.45</t>
  </si>
  <si>
    <t>11.26</t>
  </si>
  <si>
    <t>7.66</t>
  </si>
  <si>
    <t>Gross Profit, 3 Yr. CAGR %</t>
  </si>
  <si>
    <t>33.01</t>
  </si>
  <si>
    <t>37.43</t>
  </si>
  <si>
    <t>33.12</t>
  </si>
  <si>
    <t>28.57</t>
  </si>
  <si>
    <t>24.59</t>
  </si>
  <si>
    <t>16.49</t>
  </si>
  <si>
    <t>13.57</t>
  </si>
  <si>
    <t>4.48</t>
  </si>
  <si>
    <t>EBITDA, 3 Yr. CAGR %</t>
  </si>
  <si>
    <t>31.84</t>
  </si>
  <si>
    <t>45.81</t>
  </si>
  <si>
    <t>20.68</t>
  </si>
  <si>
    <t>25.69</t>
  </si>
  <si>
    <t>22.62</t>
  </si>
  <si>
    <t>28.56</t>
  </si>
  <si>
    <t>21.13</t>
  </si>
  <si>
    <t>13.99</t>
  </si>
  <si>
    <t>-2.86</t>
  </si>
  <si>
    <t>-8.83</t>
  </si>
  <si>
    <t>EBITA, 3 Yr. CAGR %</t>
  </si>
  <si>
    <t>35.74</t>
  </si>
  <si>
    <t>54.52</t>
  </si>
  <si>
    <t>13.26</t>
  </si>
  <si>
    <t>23.54</t>
  </si>
  <si>
    <t>21.72</t>
  </si>
  <si>
    <t>35.46</t>
  </si>
  <si>
    <t>23.34</t>
  </si>
  <si>
    <t>14.82</t>
  </si>
  <si>
    <t>-3.84</t>
  </si>
  <si>
    <t>-8.46</t>
  </si>
  <si>
    <t>EBIT, 3 Yr. CAGR %</t>
  </si>
  <si>
    <t>22.13</t>
  </si>
  <si>
    <t>66.58</t>
  </si>
  <si>
    <t>19.33</t>
  </si>
  <si>
    <t>-3.66</t>
  </si>
  <si>
    <t>-7.27</t>
  </si>
  <si>
    <t>-29.6</t>
  </si>
  <si>
    <t>29.89</t>
  </si>
  <si>
    <t>24.91</t>
  </si>
  <si>
    <t>-12.56</t>
  </si>
  <si>
    <t>Earnings From Cont. Operations, 3 Yr. CAGR %</t>
  </si>
  <si>
    <t>22.5</t>
  </si>
  <si>
    <t>112.09</t>
  </si>
  <si>
    <t>147.62</t>
  </si>
  <si>
    <t>-38.32</t>
  </si>
  <si>
    <t>-3.31</t>
  </si>
  <si>
    <t>-32.35</t>
  </si>
  <si>
    <t>46.83</t>
  </si>
  <si>
    <t>70.65</t>
  </si>
  <si>
    <t>352.99</t>
  </si>
  <si>
    <t>Net Income, 3 Yr. CAGR %</t>
  </si>
  <si>
    <t>23.06</t>
  </si>
  <si>
    <t>-38.61</t>
  </si>
  <si>
    <t>9.06</t>
  </si>
  <si>
    <t>-32.91</t>
  </si>
  <si>
    <t>-1.76</t>
  </si>
  <si>
    <t>32.2</t>
  </si>
  <si>
    <t>68.96</t>
  </si>
  <si>
    <t>324.99</t>
  </si>
  <si>
    <t>Normalized Net Income, 3 Yr. CAGR %</t>
  </si>
  <si>
    <t>27.44</t>
  </si>
  <si>
    <t>40.64</t>
  </si>
  <si>
    <t>47.15</t>
  </si>
  <si>
    <t>-57.82</t>
  </si>
  <si>
    <t>-36.52</t>
  </si>
  <si>
    <t>-2.67</t>
  </si>
  <si>
    <t>34.9</t>
  </si>
  <si>
    <t>57.25</t>
  </si>
  <si>
    <t>-36.06</t>
  </si>
  <si>
    <t>Diluted EPS Before Extra, 3 Yr. CAGR %</t>
  </si>
  <si>
    <t>18.22</t>
  </si>
  <si>
    <t>128.95</t>
  </si>
  <si>
    <t>135.13</t>
  </si>
  <si>
    <t>-40.51</t>
  </si>
  <si>
    <t>-36.68</t>
  </si>
  <si>
    <t>-9.14</t>
  </si>
  <si>
    <t>25.99</t>
  </si>
  <si>
    <t>68.95</t>
  </si>
  <si>
    <t>318.05</t>
  </si>
  <si>
    <t>Accounts Receivable, 3 Yr. CAGR %</t>
  </si>
  <si>
    <t>28.25</t>
  </si>
  <si>
    <t>30.65</t>
  </si>
  <si>
    <t>36.3</t>
  </si>
  <si>
    <t>13.3</t>
  </si>
  <si>
    <t>15.28</t>
  </si>
  <si>
    <t>15.83</t>
  </si>
  <si>
    <t>11.9</t>
  </si>
  <si>
    <t>14.46</t>
  </si>
  <si>
    <t>Net Property, Plant and Equip., 3 Yr. CAGR %</t>
  </si>
  <si>
    <t>14.45</t>
  </si>
  <si>
    <t>34.49</t>
  </si>
  <si>
    <t>37.24</t>
  </si>
  <si>
    <t>29.25</t>
  </si>
  <si>
    <t>16.19</t>
  </si>
  <si>
    <t>60.54</t>
  </si>
  <si>
    <t>62.19</t>
  </si>
  <si>
    <t>46.32</t>
  </si>
  <si>
    <t>-8.5</t>
  </si>
  <si>
    <t>Total Assets, 3 Yr. CAGR %</t>
  </si>
  <si>
    <t>47.22</t>
  </si>
  <si>
    <t>76.01</t>
  </si>
  <si>
    <t>57.99</t>
  </si>
  <si>
    <t>25.19</t>
  </si>
  <si>
    <t>27.35</t>
  </si>
  <si>
    <t>35.49</t>
  </si>
  <si>
    <t>19.49</t>
  </si>
  <si>
    <t>-4.34</t>
  </si>
  <si>
    <t>Tangible Book Value, 3 Yr. CAGR %</t>
  </si>
  <si>
    <t>-26.82</t>
  </si>
  <si>
    <t>114.33</t>
  </si>
  <si>
    <t>110.73</t>
  </si>
  <si>
    <t>98.73</t>
  </si>
  <si>
    <t>-6.98</t>
  </si>
  <si>
    <t>24.41</t>
  </si>
  <si>
    <t>29.94</t>
  </si>
  <si>
    <t>11.92</t>
  </si>
  <si>
    <t>20.14</t>
  </si>
  <si>
    <t>Common Equity, 3 Yr. CAGR %</t>
  </si>
  <si>
    <t>20.32</t>
  </si>
  <si>
    <t>40.85</t>
  </si>
  <si>
    <t>29.38</t>
  </si>
  <si>
    <t>12.97</t>
  </si>
  <si>
    <t>28.16</t>
  </si>
  <si>
    <t>30.8</t>
  </si>
  <si>
    <t>-4.6</t>
  </si>
  <si>
    <t>-16.51</t>
  </si>
  <si>
    <t>Cash From Operations, 3 Yr. CAGR %</t>
  </si>
  <si>
    <t>31.28</t>
  </si>
  <si>
    <t>-5.06</t>
  </si>
  <si>
    <t>38.59</t>
  </si>
  <si>
    <t>24.71</t>
  </si>
  <si>
    <t>40.82</t>
  </si>
  <si>
    <t>16.2</t>
  </si>
  <si>
    <t>2.49</t>
  </si>
  <si>
    <t>-3.03</t>
  </si>
  <si>
    <t>Capital Expenditures, 3 Yr. CAGR %</t>
  </si>
  <si>
    <t>8.79</t>
  </si>
  <si>
    <t>23.82</t>
  </si>
  <si>
    <t>31.62</t>
  </si>
  <si>
    <t>34.25</t>
  </si>
  <si>
    <t>30.74</t>
  </si>
  <si>
    <t>12.43</t>
  </si>
  <si>
    <t>-6.83</t>
  </si>
  <si>
    <t>4.96</t>
  </si>
  <si>
    <t>-6.6</t>
  </si>
  <si>
    <t>16.26</t>
  </si>
  <si>
    <t>Levered Free Cash Flow, 3 Yr. CAGR %</t>
  </si>
  <si>
    <t>61.79</t>
  </si>
  <si>
    <t>20.97</t>
  </si>
  <si>
    <t>25.65</t>
  </si>
  <si>
    <t>19.23</t>
  </si>
  <si>
    <t>19.35</t>
  </si>
  <si>
    <t>13.63</t>
  </si>
  <si>
    <t>13.86</t>
  </si>
  <si>
    <t>-11.25</t>
  </si>
  <si>
    <t>-20.53</t>
  </si>
  <si>
    <t>Unlevered Free Cash Flow, 3 Yr. CAGR %</t>
  </si>
  <si>
    <t>59.74</t>
  </si>
  <si>
    <t>25.92</t>
  </si>
  <si>
    <t>21.33</t>
  </si>
  <si>
    <t>15.46</t>
  </si>
  <si>
    <t>15.17</t>
  </si>
  <si>
    <t>-12.48</t>
  </si>
  <si>
    <t>-18.62</t>
  </si>
  <si>
    <t>Compound Annual Growth Rate Over Five Years</t>
  </si>
  <si>
    <t>Total Revenues, 5 Yr. CAGR %</t>
  </si>
  <si>
    <t>34.95</t>
  </si>
  <si>
    <t>33.83</t>
  </si>
  <si>
    <t>36.24</t>
  </si>
  <si>
    <t>34.17</t>
  </si>
  <si>
    <t>20.88</t>
  </si>
  <si>
    <t>18.85</t>
  </si>
  <si>
    <t>12.64</t>
  </si>
  <si>
    <t>8.92</t>
  </si>
  <si>
    <t>Gross Profit, 5 Yr. CAGR %</t>
  </si>
  <si>
    <t>30.88</t>
  </si>
  <si>
    <t>32.29</t>
  </si>
  <si>
    <t>31.26</t>
  </si>
  <si>
    <t>34.1</t>
  </si>
  <si>
    <t>28.51</t>
  </si>
  <si>
    <t>21.21</t>
  </si>
  <si>
    <t>19.6</t>
  </si>
  <si>
    <t>16.16</t>
  </si>
  <si>
    <t>9.18</t>
  </si>
  <si>
    <t>9.4</t>
  </si>
  <si>
    <t>EBITDA, 5 Yr. CAGR %</t>
  </si>
  <si>
    <t>39.54</t>
  </si>
  <si>
    <t>43.55</t>
  </si>
  <si>
    <t>20.06</t>
  </si>
  <si>
    <t>36.52</t>
  </si>
  <si>
    <t>29.24</t>
  </si>
  <si>
    <t>19.43</t>
  </si>
  <si>
    <t>23.05</t>
  </si>
  <si>
    <t>7.44</t>
  </si>
  <si>
    <t>4.2</t>
  </si>
  <si>
    <t>EBITA, 5 Yr. CAGR %</t>
  </si>
  <si>
    <t>43.62</t>
  </si>
  <si>
    <t>51.84</t>
  </si>
  <si>
    <t>15.98</t>
  </si>
  <si>
    <t>39.74</t>
  </si>
  <si>
    <t>30.3</t>
  </si>
  <si>
    <t>17.59</t>
  </si>
  <si>
    <t>23.09</t>
  </si>
  <si>
    <t>7.53</t>
  </si>
  <si>
    <t>5.07</t>
  </si>
  <si>
    <t>EBIT, 5 Yr. CAGR %</t>
  </si>
  <si>
    <t>43.19</t>
  </si>
  <si>
    <t>7.96</t>
  </si>
  <si>
    <t>29.45</t>
  </si>
  <si>
    <t>10.65</t>
  </si>
  <si>
    <t>-24.39</t>
  </si>
  <si>
    <t>11.77</t>
  </si>
  <si>
    <t>29.74</t>
  </si>
  <si>
    <t>-4.68</t>
  </si>
  <si>
    <t>8.2</t>
  </si>
  <si>
    <t>Earnings From Cont. Operations, 5 Yr. CAGR %</t>
  </si>
  <si>
    <t>74.18</t>
  </si>
  <si>
    <t>47.94</t>
  </si>
  <si>
    <t>48.85</t>
  </si>
  <si>
    <t>47.8</t>
  </si>
  <si>
    <t>1.84</t>
  </si>
  <si>
    <t>4.24</t>
  </si>
  <si>
    <t>-9.83</t>
  </si>
  <si>
    <t>-25.57</t>
  </si>
  <si>
    <t>91.95</t>
  </si>
  <si>
    <t>127.76</t>
  </si>
  <si>
    <t>Net Income, 5 Yr. CAGR %</t>
  </si>
  <si>
    <t>74.66</t>
  </si>
  <si>
    <t>9.47</t>
  </si>
  <si>
    <t>3.44</t>
  </si>
  <si>
    <t>-6.86</t>
  </si>
  <si>
    <t>-24.88</t>
  </si>
  <si>
    <t>89.87</t>
  </si>
  <si>
    <t>110.65</t>
  </si>
  <si>
    <t>Normalized Net Income, 5 Yr. CAGR %</t>
  </si>
  <si>
    <t>39.35</t>
  </si>
  <si>
    <t>24.36</t>
  </si>
  <si>
    <t>-20.14</t>
  </si>
  <si>
    <t>-22.26</t>
  </si>
  <si>
    <t>1.37</t>
  </si>
  <si>
    <t>6.82</t>
  </si>
  <si>
    <t>23.38</t>
  </si>
  <si>
    <t>Diluted EPS Before Extra, 5 Yr. CAGR %</t>
  </si>
  <si>
    <t>25.25</t>
  </si>
  <si>
    <t>18.96</t>
  </si>
  <si>
    <t>41.4</t>
  </si>
  <si>
    <t>51.57</t>
  </si>
  <si>
    <t>3.71</t>
  </si>
  <si>
    <t>-2.78</t>
  </si>
  <si>
    <t>-12.94</t>
  </si>
  <si>
    <t>-28.67</t>
  </si>
  <si>
    <t>81.86</t>
  </si>
  <si>
    <t>105.37</t>
  </si>
  <si>
    <t>Accounts Receivable, 5 Yr. CAGR %</t>
  </si>
  <si>
    <t>38.62</t>
  </si>
  <si>
    <t>35.63</t>
  </si>
  <si>
    <t>41.17</t>
  </si>
  <si>
    <t>27.93</t>
  </si>
  <si>
    <t>27.23</t>
  </si>
  <si>
    <t>11.36</t>
  </si>
  <si>
    <t>16.57</t>
  </si>
  <si>
    <t>14.57</t>
  </si>
  <si>
    <t>12.21</t>
  </si>
  <si>
    <t>Net Property, Plant and Equip., 5 Yr. CAGR %</t>
  </si>
  <si>
    <t>14.2</t>
  </si>
  <si>
    <t>24.18</t>
  </si>
  <si>
    <t>24.37</t>
  </si>
  <si>
    <t>24.95</t>
  </si>
  <si>
    <t>28.65</t>
  </si>
  <si>
    <t>52.37</t>
  </si>
  <si>
    <t>39.81</t>
  </si>
  <si>
    <t>33.69</t>
  </si>
  <si>
    <t>32.02</t>
  </si>
  <si>
    <t>21.14</t>
  </si>
  <si>
    <t>Total Assets, 5 Yr. CAGR %</t>
  </si>
  <si>
    <t>42.77</t>
  </si>
  <si>
    <t>44.23</t>
  </si>
  <si>
    <t>44.66</t>
  </si>
  <si>
    <t>39.63</t>
  </si>
  <si>
    <t>42.8</t>
  </si>
  <si>
    <t>32.61</t>
  </si>
  <si>
    <t>20.77</t>
  </si>
  <si>
    <t>19.63</t>
  </si>
  <si>
    <t>7.4</t>
  </si>
  <si>
    <t>Tangible Book Value, 5 Yr. CAGR %</t>
  </si>
  <si>
    <t>-9.28</t>
  </si>
  <si>
    <t>24.43</t>
  </si>
  <si>
    <t>30.69</t>
  </si>
  <si>
    <t>52.93</t>
  </si>
  <si>
    <t>48.21</t>
  </si>
  <si>
    <t>79.69</t>
  </si>
  <si>
    <t>10.89</t>
  </si>
  <si>
    <t>27.32</t>
  </si>
  <si>
    <t>28.48</t>
  </si>
  <si>
    <t>Common Equity, 5 Yr. CAGR %</t>
  </si>
  <si>
    <t>28.61</t>
  </si>
  <si>
    <t>33.85</t>
  </si>
  <si>
    <t>28.99</t>
  </si>
  <si>
    <t>28.2</t>
  </si>
  <si>
    <t>33.8</t>
  </si>
  <si>
    <t>33.96</t>
  </si>
  <si>
    <t>17.31</t>
  </si>
  <si>
    <t>18.31</t>
  </si>
  <si>
    <t>11.58</t>
  </si>
  <si>
    <t>-2.16</t>
  </si>
  <si>
    <t>Cash From Operations, 5 Yr. CAGR %</t>
  </si>
  <si>
    <t>46.26</t>
  </si>
  <si>
    <t>75.51</t>
  </si>
  <si>
    <t>25.42</t>
  </si>
  <si>
    <t>30.63</t>
  </si>
  <si>
    <t>32.4</t>
  </si>
  <si>
    <t>14.19</t>
  </si>
  <si>
    <t>32.22</t>
  </si>
  <si>
    <t>24.69</t>
  </si>
  <si>
    <t>1.57</t>
  </si>
  <si>
    <t>Capital Expenditures, 5 Yr. CAGR %</t>
  </si>
  <si>
    <t>14.95</t>
  </si>
  <si>
    <t>17.11</t>
  </si>
  <si>
    <t>23.83</t>
  </si>
  <si>
    <t>25.3</t>
  </si>
  <si>
    <t>27.36</t>
  </si>
  <si>
    <t>26.29</t>
  </si>
  <si>
    <t>5.65</t>
  </si>
  <si>
    <t>-1.54</t>
  </si>
  <si>
    <t>Levered Free Cash Flow, 5 Yr. CAGR %</t>
  </si>
  <si>
    <t>120.09</t>
  </si>
  <si>
    <t>45.49</t>
  </si>
  <si>
    <t>42.24</t>
  </si>
  <si>
    <t>23.23</t>
  </si>
  <si>
    <t>23.4</t>
  </si>
  <si>
    <t>13.31</t>
  </si>
  <si>
    <t>18.46</t>
  </si>
  <si>
    <t>17.34</t>
  </si>
  <si>
    <t>-0.78</t>
  </si>
  <si>
    <t>Unlevered Free Cash Flow, 5 Yr. CAGR %</t>
  </si>
  <si>
    <t>120.49</t>
  </si>
  <si>
    <t>47.71</t>
  </si>
  <si>
    <t>45.54</t>
  </si>
  <si>
    <t>26.2</t>
  </si>
  <si>
    <t>27.66</t>
  </si>
  <si>
    <t>17.88</t>
  </si>
  <si>
    <t>19.29</t>
  </si>
  <si>
    <t>15.42</t>
  </si>
  <si>
    <t>-0.62</t>
  </si>
  <si>
    <t>-4.84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</si>
  <si>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</si>
  <si>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</si>
  <si>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</si>
  <si>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</si>
  <si>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</si>
  <si>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</si>
  <si>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</si>
  <si>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</si>
  <si>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</si>
  <si>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3,654</t>
  </si>
  <si>
    <t>4,440</t>
  </si>
  <si>
    <t>4,335</t>
  </si>
  <si>
    <t>3,414</t>
  </si>
  <si>
    <t>2,707</t>
  </si>
  <si>
    <t>3,495</t>
  </si>
  <si>
    <t>-</t>
  </si>
  <si>
    <t>Change</t>
  </si>
  <si>
    <t>21.51%</t>
  </si>
  <si>
    <t>-2.34%</t>
  </si>
  <si>
    <t>-21.26%</t>
  </si>
  <si>
    <t>-20.71%</t>
  </si>
  <si>
    <t>29.11%</t>
  </si>
  <si>
    <t>Enterprise Value (EV)
                                    1</t>
  </si>
  <si>
    <t>4,137</t>
  </si>
  <si>
    <t>4,811</t>
  </si>
  <si>
    <t>4,755</t>
  </si>
  <si>
    <t>4,123</t>
  </si>
  <si>
    <t>3,492</t>
  </si>
  <si>
    <t>4,190</t>
  </si>
  <si>
    <t>4,014</t>
  </si>
  <si>
    <t>3,810</t>
  </si>
  <si>
    <t>16.31%</t>
  </si>
  <si>
    <t>-1.17%</t>
  </si>
  <si>
    <t>-13.29%</t>
  </si>
  <si>
    <t>-15.31%</t>
  </si>
  <si>
    <t>19.98%</t>
  </si>
  <si>
    <t>-4.18%</t>
  </si>
  <si>
    <t>-5.1%</t>
  </si>
  <si>
    <t>P/E ratio</t>
  </si>
  <si>
    <t>-211x</t>
  </si>
  <si>
    <t>-1,372x</t>
  </si>
  <si>
    <t>331x</t>
  </si>
  <si>
    <t>-42x</t>
  </si>
  <si>
    <t>-11.3x</t>
  </si>
  <si>
    <t>-80.4x</t>
  </si>
  <si>
    <t>42x</t>
  </si>
  <si>
    <t>32.5x</t>
  </si>
  <si>
    <t>PBR</t>
  </si>
  <si>
    <t>4.23x</t>
  </si>
  <si>
    <t>4.56x</t>
  </si>
  <si>
    <t>4.53x</t>
  </si>
  <si>
    <t>4.42x</t>
  </si>
  <si>
    <t>4.77x</t>
  </si>
  <si>
    <t>5.6x</t>
  </si>
  <si>
    <t>4.83x</t>
  </si>
  <si>
    <t>3.27x</t>
  </si>
  <si>
    <t>PEG</t>
  </si>
  <si>
    <t>16.8x</t>
  </si>
  <si>
    <t>-1x</t>
  </si>
  <si>
    <t>0x</t>
  </si>
  <si>
    <t>-0x</t>
  </si>
  <si>
    <t>1x</t>
  </si>
  <si>
    <t>1.1x</t>
  </si>
  <si>
    <t>Capitalization / Revenue</t>
  </si>
  <si>
    <t>4.06x</t>
  </si>
  <si>
    <t>4.45x</t>
  </si>
  <si>
    <t>3.65x</t>
  </si>
  <si>
    <t>2.75x</t>
  </si>
  <si>
    <t>2.17x</t>
  </si>
  <si>
    <t>2.53x</t>
  </si>
  <si>
    <t>2.26x</t>
  </si>
  <si>
    <t>2.01x</t>
  </si>
  <si>
    <t>EV / Revenue</t>
  </si>
  <si>
    <t>4.6x</t>
  </si>
  <si>
    <t>4.82x</t>
  </si>
  <si>
    <t>4.01x</t>
  </si>
  <si>
    <t>3.33x</t>
  </si>
  <si>
    <t>2.8x</t>
  </si>
  <si>
    <t>3.04x</t>
  </si>
  <si>
    <t>2.6x</t>
  </si>
  <si>
    <t>2.19x</t>
  </si>
  <si>
    <t>EV / EBITDA</t>
  </si>
  <si>
    <t>21.4x</t>
  </si>
  <si>
    <t>19.8x</t>
  </si>
  <si>
    <t>18.2x</t>
  </si>
  <si>
    <t>18.7x</t>
  </si>
  <si>
    <t>13.9x</t>
  </si>
  <si>
    <t>13.2x</t>
  </si>
  <si>
    <t>10.8x</t>
  </si>
  <si>
    <t>8.45x</t>
  </si>
  <si>
    <t>EV / EBIT</t>
  </si>
  <si>
    <t>-257x</t>
  </si>
  <si>
    <t>247x</t>
  </si>
  <si>
    <t>117x</t>
  </si>
  <si>
    <t>-62.5x</t>
  </si>
  <si>
    <t>-17.1x</t>
  </si>
  <si>
    <t>31.1x</t>
  </si>
  <si>
    <t>EV / FCF</t>
  </si>
  <si>
    <t>46.5x</t>
  </si>
  <si>
    <t>30.5x</t>
  </si>
  <si>
    <t>29.4x</t>
  </si>
  <si>
    <t>352x</t>
  </si>
  <si>
    <t>84x</t>
  </si>
  <si>
    <t>26x</t>
  </si>
  <si>
    <t>22.2x</t>
  </si>
  <si>
    <t>18.4x</t>
  </si>
  <si>
    <t>FCF Yield</t>
  </si>
  <si>
    <t>2.15%</t>
  </si>
  <si>
    <t>3.28%</t>
  </si>
  <si>
    <t>3.4%</t>
  </si>
  <si>
    <t>0.28%</t>
  </si>
  <si>
    <t>1.19%</t>
  </si>
  <si>
    <t>3.84%</t>
  </si>
  <si>
    <t>4.51%</t>
  </si>
  <si>
    <t>5.43%</t>
  </si>
  <si>
    <t>Dividend per Share
                                    2</t>
  </si>
  <si>
    <t>Rate of return</t>
  </si>
  <si>
    <t>EPS
                                    2</t>
  </si>
  <si>
    <t>-0.785</t>
  </si>
  <si>
    <t>1.502</t>
  </si>
  <si>
    <t>1.945</t>
  </si>
  <si>
    <t>Distribution rate</t>
  </si>
  <si>
    <t>Net sales
                                    1</t>
  </si>
  <si>
    <t>900.1</t>
  </si>
  <si>
    <t>998.2</t>
  </si>
  <si>
    <t>1,187</t>
  </si>
  <si>
    <t>1,240</t>
  </si>
  <si>
    <t>1,246</t>
  </si>
  <si>
    <t>1,380</t>
  </si>
  <si>
    <t>1,545</t>
  </si>
  <si>
    <t>1,742</t>
  </si>
  <si>
    <t>EBITDA
                                    1</t>
  </si>
  <si>
    <t>193.3</t>
  </si>
  <si>
    <t>242.9</t>
  </si>
  <si>
    <t>261.7</t>
  </si>
  <si>
    <t>220.1</t>
  </si>
  <si>
    <t>250.9</t>
  </si>
  <si>
    <t>316.4</t>
  </si>
  <si>
    <t>372.5</t>
  </si>
  <si>
    <t>450.6</t>
  </si>
  <si>
    <t>EBIT
                                    1</t>
  </si>
  <si>
    <t>-16.07</t>
  </si>
  <si>
    <t>19.44</t>
  </si>
  <si>
    <t>40.54</t>
  </si>
  <si>
    <t>-66.02</t>
  </si>
  <si>
    <t>-204.5</t>
  </si>
  <si>
    <t>35.8</t>
  </si>
  <si>
    <t>129.2</t>
  </si>
  <si>
    <t>Net income
                                    1</t>
  </si>
  <si>
    <t>-16.78</t>
  </si>
  <si>
    <t>-3.11</t>
  </si>
  <si>
    <t>-80.94</t>
  </si>
  <si>
    <t>-238.7</t>
  </si>
  <si>
    <t>-44.54</t>
  </si>
  <si>
    <t>90.25</t>
  </si>
  <si>
    <t>113.5</t>
  </si>
  <si>
    <t>Net Debt
                                    1</t>
  </si>
  <si>
    <t>483</t>
  </si>
  <si>
    <t>371.9</t>
  </si>
  <si>
    <t>419.6</t>
  </si>
  <si>
    <t>709.6</t>
  </si>
  <si>
    <t>785.2</t>
  </si>
  <si>
    <t>695</t>
  </si>
  <si>
    <t>519.8</t>
  </si>
  <si>
    <t>315</t>
  </si>
  <si>
    <t>Reference price
                                    2</t>
  </si>
  <si>
    <t>69.63</t>
  </si>
  <si>
    <t>82.29</t>
  </si>
  <si>
    <t>79.34</t>
  </si>
  <si>
    <t>61.70</t>
  </si>
  <si>
    <t>49.52</t>
  </si>
  <si>
    <t>63.14</t>
  </si>
  <si>
    <t>Nbr of stocks (in thousands)</t>
  </si>
  <si>
    <t>52,473</t>
  </si>
  <si>
    <t>53,950</t>
  </si>
  <si>
    <t>54,644</t>
  </si>
  <si>
    <t>55,326</t>
  </si>
  <si>
    <t>54,656</t>
  </si>
  <si>
    <t>55,346</t>
  </si>
  <si>
    <t>Announcement Date</t>
  </si>
  <si>
    <t>2/20/20</t>
  </si>
  <si>
    <t>2/25/21</t>
  </si>
  <si>
    <t>2/24/22</t>
  </si>
  <si>
    <t>2/23/23</t>
  </si>
  <si>
    <t>2/22/24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</si>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</sst>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&quot;$&quot;#,##0.00"/>
  </numFmts>
  <fonts count="7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b/>
      <sz val="11.0"/>
      <color rgb="FFFFFFFF"/>
      <name val="Calibri"/>
    </font>
    <font>
      <color theme="1"/>
      <name val="Calibri"/>
      <scheme val="minor"/>
    </font>
    <font>
      <b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0000"/>
        <bgColor rgb="FFFF0000"/>
      </patternFill>
    </fill>
    <fill>
      <patternFill patternType="solid">
        <fgColor rgb="FF9900FF"/>
        <bgColor rgb="FF9900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49" xfId="0" applyAlignment="1" applyFont="1" applyNumberFormat="1">
      <alignment vertical="bottom"/>
    </xf>
    <xf borderId="0" fillId="0" fontId="3" numFmtId="49" xfId="0" applyAlignment="1" applyFont="1" applyNumberFormat="1">
      <alignment horizontal="center" vertical="bottom"/>
    </xf>
    <xf borderId="0" fillId="2" fontId="4" numFmtId="49" xfId="0" applyAlignment="1" applyFill="1" applyFont="1" applyNumberFormat="1">
      <alignment horizontal="center" vertical="bottom"/>
    </xf>
    <xf borderId="0" fillId="3" fontId="2" numFmtId="10" xfId="0" applyAlignment="1" applyFill="1" applyFont="1" applyNumberFormat="1">
      <alignment vertical="bottom"/>
    </xf>
    <xf borderId="0" fillId="0" fontId="2" numFmtId="10" xfId="0" applyAlignment="1" applyFont="1" applyNumberFormat="1">
      <alignment horizontal="center" vertical="bottom"/>
    </xf>
    <xf borderId="0" fillId="3" fontId="4" numFmtId="10" xfId="0" applyAlignment="1" applyFont="1" applyNumberFormat="1">
      <alignment horizontal="center" vertical="bottom"/>
    </xf>
    <xf borderId="0" fillId="0" fontId="2" numFmtId="10" xfId="0" applyAlignment="1" applyFont="1" applyNumberFormat="1">
      <alignment vertical="bottom"/>
    </xf>
    <xf borderId="0" fillId="0" fontId="2" numFmtId="49" xfId="0" applyAlignment="1" applyFont="1" applyNumberFormat="1">
      <alignment horizontal="center" vertical="bottom"/>
    </xf>
    <xf borderId="0" fillId="0" fontId="2" numFmtId="164" xfId="0" applyAlignment="1" applyFont="1" applyNumberFormat="1">
      <alignment horizontal="center" vertical="bottom"/>
    </xf>
    <xf borderId="0" fillId="0" fontId="2" numFmtId="164" xfId="0" applyAlignment="1" applyFont="1" applyNumberFormat="1">
      <alignment vertical="bottom"/>
    </xf>
    <xf borderId="0" fillId="0" fontId="5" numFmtId="0" xfId="0" applyFont="1"/>
    <xf borderId="1" fillId="0" fontId="6" numFmtId="0" xfId="0" applyAlignment="1" applyBorder="1" applyFont="1">
      <alignment horizontal="center" vertical="top"/>
    </xf>
    <xf borderId="0" fillId="0" fontId="1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6" width="14.43"/>
  </cols>
  <sheetData>
    <row r="1">
      <c r="A1" s="3"/>
      <c r="B1" s="3"/>
      <c r="C1" s="3"/>
      <c r="D1" s="3"/>
      <c r="E1" s="3"/>
      <c r="F1" s="3"/>
      <c r="G1" s="3"/>
      <c r="H1" s="3"/>
      <c r="I1" s="4" t="s">
        <v>6</v>
      </c>
      <c r="J1" s="5" t="str">
        <f>Data!B1</f>
        <v>ENV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>
      <c r="A2" s="6"/>
      <c r="B2" s="7">
        <f>IF(B3&gt;0,B3,0)</f>
        <v>0</v>
      </c>
      <c r="C2" s="6"/>
      <c r="D2" s="7">
        <f>IF(D3&gt;0,D3,0)</f>
        <v>0</v>
      </c>
      <c r="E2" s="6"/>
      <c r="F2" s="7">
        <f>IF(F3&gt;0,F3,0)</f>
        <v>0</v>
      </c>
      <c r="G2" s="6"/>
      <c r="H2" s="7">
        <f>IF(H3&gt;0,H3,0)</f>
        <v>0</v>
      </c>
      <c r="I2" s="8">
        <f>MEDIAN(J2,L2,N2,P2,R2,T2,V29,H2,F2,D2,B2,V2)</f>
        <v>0</v>
      </c>
      <c r="J2" s="7">
        <f>IF(J3&gt;0,J3,0)</f>
        <v>0</v>
      </c>
      <c r="K2" s="9"/>
      <c r="L2" s="7">
        <f>IF(L3&gt;0,L3,0)</f>
        <v>0</v>
      </c>
      <c r="M2" s="9"/>
      <c r="N2" s="7">
        <f>IF(N3&gt;0,N3,0)</f>
        <v>0</v>
      </c>
      <c r="O2" s="9"/>
      <c r="P2" s="7">
        <f>IF(P3&gt;0,P3,0)</f>
        <v>0</v>
      </c>
      <c r="Q2" s="9"/>
      <c r="R2" s="7">
        <f>IF(R3&gt;0,R3,0)</f>
        <v>0</v>
      </c>
      <c r="S2" s="9"/>
      <c r="T2" s="7">
        <f>IF(T3&gt;0,T3,0)</f>
        <v>0</v>
      </c>
      <c r="U2" s="9"/>
      <c r="V2" s="7">
        <f>IF(V3&gt;0,V3,0)</f>
        <v>0</v>
      </c>
      <c r="W2" s="9"/>
      <c r="X2" s="9"/>
      <c r="Y2" s="9"/>
      <c r="Z2" s="9"/>
      <c r="AA2" s="9"/>
      <c r="AB2" s="9"/>
      <c r="AC2" s="9"/>
      <c r="AD2" s="9"/>
    </row>
    <row r="3">
      <c r="A3" s="7" t="s">
        <v>7</v>
      </c>
      <c r="B3" s="7">
        <f>B4/B5-1</f>
        <v>-1</v>
      </c>
      <c r="C3" s="9"/>
      <c r="D3" s="7">
        <f>D4/D5-1</f>
        <v>-1</v>
      </c>
      <c r="E3" s="9"/>
      <c r="F3" s="7">
        <f>F4/F5-1</f>
        <v>-1</v>
      </c>
      <c r="G3" s="9"/>
      <c r="H3" s="7">
        <f>H4/H5-1</f>
        <v>-1</v>
      </c>
      <c r="I3" s="7" t="s">
        <v>7</v>
      </c>
      <c r="J3" s="7">
        <f>J4/J5-1</f>
        <v>-1</v>
      </c>
      <c r="K3" s="9"/>
      <c r="L3" s="7">
        <f>L4/L5-1</f>
        <v>-1</v>
      </c>
      <c r="M3" s="9"/>
      <c r="N3" s="7">
        <f>N4/N5-1</f>
        <v>-1</v>
      </c>
      <c r="O3" s="9"/>
      <c r="P3" s="7">
        <f>P4/P5-1</f>
        <v>-1</v>
      </c>
      <c r="Q3" s="9"/>
      <c r="R3" s="7">
        <f>R4/R5-1</f>
        <v>-1</v>
      </c>
      <c r="S3" s="9"/>
      <c r="T3" s="7">
        <f>T4/T5-1</f>
        <v>-1</v>
      </c>
      <c r="U3" s="9"/>
      <c r="V3" s="7">
        <f>V4/V5-1</f>
        <v>-1</v>
      </c>
      <c r="W3" s="9"/>
      <c r="X3" s="9"/>
      <c r="Y3" s="9"/>
      <c r="Z3" s="9"/>
      <c r="AA3" s="9"/>
      <c r="AB3" s="9"/>
      <c r="AC3" s="9"/>
      <c r="AD3" s="9"/>
    </row>
    <row r="4">
      <c r="A4" s="10" t="s">
        <v>8</v>
      </c>
      <c r="B4" s="3" t="str">
        <f>B26</f>
        <v/>
      </c>
      <c r="C4" s="3"/>
      <c r="D4" s="3" t="str">
        <f>D26</f>
        <v/>
      </c>
      <c r="E4" s="3"/>
      <c r="F4" s="3" t="str">
        <f>F26</f>
        <v/>
      </c>
      <c r="G4" s="3"/>
      <c r="H4" s="3" t="str">
        <f>H26</f>
        <v/>
      </c>
      <c r="I4" s="10" t="s">
        <v>8</v>
      </c>
      <c r="J4" s="3" t="str">
        <f>J25</f>
        <v/>
      </c>
      <c r="K4" s="3"/>
      <c r="L4" s="3" t="str">
        <f>L26</f>
        <v/>
      </c>
      <c r="M4" s="3"/>
      <c r="N4" s="3" t="str">
        <f>N26</f>
        <v/>
      </c>
      <c r="O4" s="3"/>
      <c r="P4" s="3" t="str">
        <f>P26</f>
        <v/>
      </c>
      <c r="Q4" s="3"/>
      <c r="R4" s="3" t="str">
        <f>R26</f>
        <v/>
      </c>
      <c r="S4" s="3"/>
      <c r="T4" s="3" t="str">
        <f>T26</f>
        <v/>
      </c>
      <c r="U4" s="3"/>
      <c r="V4" s="3" t="str">
        <f>V26</f>
        <v/>
      </c>
      <c r="W4" s="3"/>
      <c r="X4" s="3"/>
      <c r="Y4" s="3"/>
      <c r="Z4" s="3"/>
      <c r="AA4" s="3"/>
      <c r="AB4" s="3"/>
      <c r="AC4" s="3"/>
      <c r="AD4" s="3"/>
    </row>
    <row r="5">
      <c r="A5" s="10" t="s">
        <v>9</v>
      </c>
      <c r="B5" s="10">
        <f>MEDIAN(B7:B257)</f>
        <v>0.04</v>
      </c>
      <c r="C5" s="3"/>
      <c r="D5" s="10">
        <f>MEDIAN(D7:D257)</f>
        <v>0.04</v>
      </c>
      <c r="E5" s="3"/>
      <c r="F5" s="10">
        <f>MEDIAN(F7:F257)</f>
        <v>0.03</v>
      </c>
      <c r="G5" s="3"/>
      <c r="H5" s="10">
        <f>MEDIAN(H7:H257)</f>
        <v>0.035</v>
      </c>
      <c r="I5" s="10" t="s">
        <v>9</v>
      </c>
      <c r="J5" s="10">
        <f>MEDIAN(J7:J257)</f>
        <v>0.03</v>
      </c>
      <c r="K5" s="3"/>
      <c r="L5" s="10">
        <f>MEDIAN(L7:L257)</f>
        <v>0.03</v>
      </c>
      <c r="M5" s="3"/>
      <c r="N5" s="10">
        <f>MEDIAN(N7:N257)</f>
        <v>0.02</v>
      </c>
      <c r="O5" s="3"/>
      <c r="P5" s="10">
        <f>MEDIAN(P7:P257)</f>
        <v>0.02</v>
      </c>
      <c r="Q5" s="3"/>
      <c r="R5" s="10">
        <f>MEDIAN(R7:R257)</f>
        <v>0.01</v>
      </c>
      <c r="S5" s="3"/>
      <c r="T5" s="10">
        <f>MEDIAN(T7:T257)</f>
        <v>0.02</v>
      </c>
      <c r="U5" s="3"/>
      <c r="V5" s="10">
        <f>MEDIAN(V7:V257)</f>
        <v>0.01</v>
      </c>
      <c r="W5" s="3"/>
      <c r="X5" s="3"/>
      <c r="Y5" s="3"/>
      <c r="Z5" s="3"/>
      <c r="AA5" s="3"/>
      <c r="AB5" s="3"/>
      <c r="AC5" s="3"/>
      <c r="AD5" s="3"/>
    </row>
    <row r="6">
      <c r="A6" s="10" t="str">
        <f>IFERROR(__xludf.DUMMYFUNCTION("GoogleFinance(J1,""high"",date(2014, 12, 1),date(2014, 12, 31),1)"),"Date")</f>
        <v>Date</v>
      </c>
      <c r="B6" s="10" t="str">
        <f>IFERROR(__xludf.DUMMYFUNCTION("""COMPUTED_VALUE"""),"High")</f>
        <v>High</v>
      </c>
      <c r="C6" s="10" t="str">
        <f>IFERROR(__xludf.DUMMYFUNCTION("GoogleFinance(J1,""high"",date(2015, 12, 1),date(2015, 12, 31),1)"),"Date")</f>
        <v>Date</v>
      </c>
      <c r="D6" s="10" t="str">
        <f>IFERROR(__xludf.DUMMYFUNCTION("""COMPUTED_VALUE"""),"High")</f>
        <v>High</v>
      </c>
      <c r="E6" s="10" t="str">
        <f>IFERROR(__xludf.DUMMYFUNCTION("GoogleFinance(J1,""high"",date(2016, 12, 1),date(2016, 12, 31),1)"),"Date")</f>
        <v>Date</v>
      </c>
      <c r="F6" s="10" t="str">
        <f>IFERROR(__xludf.DUMMYFUNCTION("""COMPUTED_VALUE"""),"High")</f>
        <v>High</v>
      </c>
      <c r="G6" s="10" t="str">
        <f>IFERROR(__xludf.DUMMYFUNCTION("GoogleFinance(J1,""high"",date(2017, 12, 1),date(2017, 12, 31),1)"),"Date")</f>
        <v>Date</v>
      </c>
      <c r="H6" s="10" t="str">
        <f>IFERROR(__xludf.DUMMYFUNCTION("""COMPUTED_VALUE"""),"High")</f>
        <v>High</v>
      </c>
      <c r="I6" s="10" t="str">
        <f>IFERROR(__xludf.DUMMYFUNCTION("GoogleFinance(J1,""high"",date(2018, 12, 1),date(2018, 12, 31),1)"),"Date")</f>
        <v>Date</v>
      </c>
      <c r="J6" s="10" t="str">
        <f>IFERROR(__xludf.DUMMYFUNCTION("""COMPUTED_VALUE"""),"High")</f>
        <v>High</v>
      </c>
      <c r="K6" s="10" t="str">
        <f>IFERROR(__xludf.DUMMYFUNCTION("GoogleFinance(J1,""high"",date(2019, 12, 1),date(2019, 12, 31),1)"),"Date")</f>
        <v>Date</v>
      </c>
      <c r="L6" s="3" t="str">
        <f>IFERROR(__xludf.DUMMYFUNCTION("""COMPUTED_VALUE"""),"High")</f>
        <v>High</v>
      </c>
      <c r="M6" s="10" t="str">
        <f>IFERROR(__xludf.DUMMYFUNCTION("GoogleFinance(J1,""high"",date(2020, 12, 1),date(2020, 12, 31),1)"),"Date")</f>
        <v>Date</v>
      </c>
      <c r="N6" s="3" t="str">
        <f>IFERROR(__xludf.DUMMYFUNCTION("""COMPUTED_VALUE"""),"High")</f>
        <v>High</v>
      </c>
      <c r="O6" s="10" t="str">
        <f>IFERROR(__xludf.DUMMYFUNCTION("GoogleFinance(J1,""high"",date(2021, 12, 1),date(2021, 12, 31),1)"),"Date")</f>
        <v>Date</v>
      </c>
      <c r="P6" s="3" t="str">
        <f>IFERROR(__xludf.DUMMYFUNCTION("""COMPUTED_VALUE"""),"High")</f>
        <v>High</v>
      </c>
      <c r="Q6" s="10" t="str">
        <f>IFERROR(__xludf.DUMMYFUNCTION("GoogleFinance(J1,""high"",date(2022, 12, 1),date(2022, 12, 31),1)"),"Date")</f>
        <v>Date</v>
      </c>
      <c r="R6" s="3" t="str">
        <f>IFERROR(__xludf.DUMMYFUNCTION("""COMPUTED_VALUE"""),"High")</f>
        <v>High</v>
      </c>
      <c r="S6" s="10" t="str">
        <f>IFERROR(__xludf.DUMMYFUNCTION("GoogleFinance(J1,""high"",date(2023, 12, 1),date(2023, 12, 31),1)"),"Date")</f>
        <v>Date</v>
      </c>
      <c r="T6" s="3" t="str">
        <f>IFERROR(__xludf.DUMMYFUNCTION("""COMPUTED_VALUE"""),"High")</f>
        <v>High</v>
      </c>
      <c r="U6" s="10" t="str">
        <f>IFERROR(__xludf.DUMMYFUNCTION("GoogleFinance(J1,""high"",date(2024, 12, 1),date(2024, 12, 31),1)"),"Date")</f>
        <v>Date</v>
      </c>
      <c r="V6" s="3" t="str">
        <f>IFERROR(__xludf.DUMMYFUNCTION("""COMPUTED_VALUE"""),"High")</f>
        <v>High</v>
      </c>
      <c r="W6" s="3"/>
      <c r="X6" s="3"/>
      <c r="Y6" s="3"/>
      <c r="Z6" s="3"/>
      <c r="AA6" s="3"/>
      <c r="AB6" s="3"/>
      <c r="AC6" s="3"/>
      <c r="AD6" s="3"/>
    </row>
    <row r="7">
      <c r="A7" s="11">
        <f>IFERROR(__xludf.DUMMYFUNCTION("""COMPUTED_VALUE"""),41974.66666666667)</f>
        <v>41974.66667</v>
      </c>
      <c r="B7" s="10">
        <f>IFERROR(__xludf.DUMMYFUNCTION("""COMPUTED_VALUE"""),0.04)</f>
        <v>0.04</v>
      </c>
      <c r="C7" s="11">
        <f>IFERROR(__xludf.DUMMYFUNCTION("""COMPUTED_VALUE"""),42339.66666666667)</f>
        <v>42339.66667</v>
      </c>
      <c r="D7" s="10">
        <f>IFERROR(__xludf.DUMMYFUNCTION("""COMPUTED_VALUE"""),0.04)</f>
        <v>0.04</v>
      </c>
      <c r="E7" s="11">
        <f>IFERROR(__xludf.DUMMYFUNCTION("""COMPUTED_VALUE"""),42706.66666666667)</f>
        <v>42706.66667</v>
      </c>
      <c r="F7" s="10">
        <f>IFERROR(__xludf.DUMMYFUNCTION("""COMPUTED_VALUE"""),0.03)</f>
        <v>0.03</v>
      </c>
      <c r="G7" s="11">
        <f>IFERROR(__xludf.DUMMYFUNCTION("""COMPUTED_VALUE"""),43070.66666666667)</f>
        <v>43070.66667</v>
      </c>
      <c r="H7" s="10">
        <f>IFERROR(__xludf.DUMMYFUNCTION("""COMPUTED_VALUE"""),0.04)</f>
        <v>0.04</v>
      </c>
      <c r="I7" s="11">
        <f>IFERROR(__xludf.DUMMYFUNCTION("""COMPUTED_VALUE"""),43437.66666666667)</f>
        <v>43437.66667</v>
      </c>
      <c r="J7" s="10">
        <f>IFERROR(__xludf.DUMMYFUNCTION("""COMPUTED_VALUE"""),0.03)</f>
        <v>0.03</v>
      </c>
      <c r="K7" s="11">
        <f>IFERROR(__xludf.DUMMYFUNCTION("""COMPUTED_VALUE"""),43802.66666666667)</f>
        <v>43802.66667</v>
      </c>
      <c r="L7" s="3">
        <f>IFERROR(__xludf.DUMMYFUNCTION("""COMPUTED_VALUE"""),0.03)</f>
        <v>0.03</v>
      </c>
      <c r="M7" s="11">
        <f>IFERROR(__xludf.DUMMYFUNCTION("""COMPUTED_VALUE"""),44166.66666666667)</f>
        <v>44166.66667</v>
      </c>
      <c r="N7" s="3">
        <f>IFERROR(__xludf.DUMMYFUNCTION("""COMPUTED_VALUE"""),0.02)</f>
        <v>0.02</v>
      </c>
      <c r="O7" s="11">
        <f>IFERROR(__xludf.DUMMYFUNCTION("""COMPUTED_VALUE"""),44533.66666666667)</f>
        <v>44533.66667</v>
      </c>
      <c r="P7" s="3">
        <f>IFERROR(__xludf.DUMMYFUNCTION("""COMPUTED_VALUE"""),0.02)</f>
        <v>0.02</v>
      </c>
      <c r="Q7" s="11">
        <f>IFERROR(__xludf.DUMMYFUNCTION("""COMPUTED_VALUE"""),44896.66666666667)</f>
        <v>44896.66667</v>
      </c>
      <c r="R7" s="3">
        <f>IFERROR(__xludf.DUMMYFUNCTION("""COMPUTED_VALUE"""),0.01)</f>
        <v>0.01</v>
      </c>
      <c r="S7" s="11">
        <f>IFERROR(__xludf.DUMMYFUNCTION("""COMPUTED_VALUE"""),45278.66666666667)</f>
        <v>45278.66667</v>
      </c>
      <c r="T7" s="3">
        <f>IFERROR(__xludf.DUMMYFUNCTION("""COMPUTED_VALUE"""),0.01)</f>
        <v>0.01</v>
      </c>
      <c r="U7" s="3">
        <f>IFERROR(__xludf.DUMMYFUNCTION("""COMPUTED_VALUE"""),45628.66666666667)</f>
        <v>45628.66667</v>
      </c>
      <c r="V7" s="3">
        <f>IFERROR(__xludf.DUMMYFUNCTION("""COMPUTED_VALUE"""),0.01)</f>
        <v>0.01</v>
      </c>
      <c r="W7" s="3"/>
      <c r="X7" s="3"/>
      <c r="Y7" s="3"/>
      <c r="Z7" s="3"/>
      <c r="AA7" s="3"/>
      <c r="AB7" s="3"/>
      <c r="AC7" s="3"/>
      <c r="AD7" s="3"/>
    </row>
    <row r="8">
      <c r="A8" s="11">
        <f>IFERROR(__xludf.DUMMYFUNCTION("""COMPUTED_VALUE"""),41977.66666666667)</f>
        <v>41977.66667</v>
      </c>
      <c r="B8" s="10">
        <f>IFERROR(__xludf.DUMMYFUNCTION("""COMPUTED_VALUE"""),0.04)</f>
        <v>0.04</v>
      </c>
      <c r="C8" s="11">
        <f>IFERROR(__xludf.DUMMYFUNCTION("""COMPUTED_VALUE"""),42340.66666666667)</f>
        <v>42340.66667</v>
      </c>
      <c r="D8" s="10">
        <f>IFERROR(__xludf.DUMMYFUNCTION("""COMPUTED_VALUE"""),0.04)</f>
        <v>0.04</v>
      </c>
      <c r="E8" s="11">
        <f>IFERROR(__xludf.DUMMYFUNCTION("""COMPUTED_VALUE"""),42718.66666666667)</f>
        <v>42718.66667</v>
      </c>
      <c r="F8" s="10">
        <f>IFERROR(__xludf.DUMMYFUNCTION("""COMPUTED_VALUE"""),0.03)</f>
        <v>0.03</v>
      </c>
      <c r="G8" s="11">
        <f>IFERROR(__xludf.DUMMYFUNCTION("""COMPUTED_VALUE"""),43076.66666666667)</f>
        <v>43076.66667</v>
      </c>
      <c r="H8" s="10">
        <f>IFERROR(__xludf.DUMMYFUNCTION("""COMPUTED_VALUE"""),0.03)</f>
        <v>0.03</v>
      </c>
      <c r="I8" s="11">
        <f>IFERROR(__xludf.DUMMYFUNCTION("""COMPUTED_VALUE"""),43439.66666666667)</f>
        <v>43439.66667</v>
      </c>
      <c r="J8" s="10">
        <f>IFERROR(__xludf.DUMMYFUNCTION("""COMPUTED_VALUE"""),0.03)</f>
        <v>0.03</v>
      </c>
      <c r="K8" s="11">
        <f>IFERROR(__xludf.DUMMYFUNCTION("""COMPUTED_VALUE"""),43805.66666666667)</f>
        <v>43805.66667</v>
      </c>
      <c r="L8" s="3">
        <f>IFERROR(__xludf.DUMMYFUNCTION("""COMPUTED_VALUE"""),0.03)</f>
        <v>0.03</v>
      </c>
      <c r="M8" s="11">
        <f>IFERROR(__xludf.DUMMYFUNCTION("""COMPUTED_VALUE"""),44175.66666666667)</f>
        <v>44175.66667</v>
      </c>
      <c r="N8" s="3">
        <f>IFERROR(__xludf.DUMMYFUNCTION("""COMPUTED_VALUE"""),0.02)</f>
        <v>0.02</v>
      </c>
      <c r="O8" s="11">
        <f>IFERROR(__xludf.DUMMYFUNCTION("""COMPUTED_VALUE"""),44536.66666666667)</f>
        <v>44536.66667</v>
      </c>
      <c r="P8" s="3">
        <f>IFERROR(__xludf.DUMMYFUNCTION("""COMPUTED_VALUE"""),0.02)</f>
        <v>0.02</v>
      </c>
      <c r="Q8" s="11">
        <f>IFERROR(__xludf.DUMMYFUNCTION("""COMPUTED_VALUE"""),44901.66666666667)</f>
        <v>44901.66667</v>
      </c>
      <c r="R8" s="3">
        <f>IFERROR(__xludf.DUMMYFUNCTION("""COMPUTED_VALUE"""),0.01)</f>
        <v>0.01</v>
      </c>
      <c r="S8" s="11">
        <f>IFERROR(__xludf.DUMMYFUNCTION("""COMPUTED_VALUE"""),45279.66666666667)</f>
        <v>45279.66667</v>
      </c>
      <c r="T8" s="3">
        <f>IFERROR(__xludf.DUMMYFUNCTION("""COMPUTED_VALUE"""),0.01)</f>
        <v>0.01</v>
      </c>
      <c r="U8" s="3">
        <f>IFERROR(__xludf.DUMMYFUNCTION("""COMPUTED_VALUE"""),45629.66666666667)</f>
        <v>45629.66667</v>
      </c>
      <c r="V8" s="3">
        <f>IFERROR(__xludf.DUMMYFUNCTION("""COMPUTED_VALUE"""),0.01)</f>
        <v>0.01</v>
      </c>
      <c r="W8" s="3"/>
      <c r="X8" s="3"/>
      <c r="Y8" s="3"/>
      <c r="Z8" s="3"/>
      <c r="AA8" s="3"/>
      <c r="AB8" s="3"/>
      <c r="AC8" s="3"/>
      <c r="AD8" s="3"/>
    </row>
    <row r="9">
      <c r="A9" s="11">
        <f>IFERROR(__xludf.DUMMYFUNCTION("""COMPUTED_VALUE"""),41978.66666666667)</f>
        <v>41978.66667</v>
      </c>
      <c r="B9" s="10">
        <f>IFERROR(__xludf.DUMMYFUNCTION("""COMPUTED_VALUE"""),0.04)</f>
        <v>0.04</v>
      </c>
      <c r="C9" s="11">
        <f>IFERROR(__xludf.DUMMYFUNCTION("""COMPUTED_VALUE"""),42341.66666666667)</f>
        <v>42341.66667</v>
      </c>
      <c r="D9" s="10">
        <f>IFERROR(__xludf.DUMMYFUNCTION("""COMPUTED_VALUE"""),0.04)</f>
        <v>0.04</v>
      </c>
      <c r="E9" s="11"/>
      <c r="F9" s="10"/>
      <c r="G9" s="11">
        <f>IFERROR(__xludf.DUMMYFUNCTION("""COMPUTED_VALUE"""),43080.66666666667)</f>
        <v>43080.66667</v>
      </c>
      <c r="H9" s="10">
        <f>IFERROR(__xludf.DUMMYFUNCTION("""COMPUTED_VALUE"""),0.03)</f>
        <v>0.03</v>
      </c>
      <c r="I9" s="11">
        <f>IFERROR(__xludf.DUMMYFUNCTION("""COMPUTED_VALUE"""),43440.66666666667)</f>
        <v>43440.66667</v>
      </c>
      <c r="J9" s="10">
        <f>IFERROR(__xludf.DUMMYFUNCTION("""COMPUTED_VALUE"""),0.03)</f>
        <v>0.03</v>
      </c>
      <c r="K9" s="11">
        <f>IFERROR(__xludf.DUMMYFUNCTION("""COMPUTED_VALUE"""),43808.66666666667)</f>
        <v>43808.66667</v>
      </c>
      <c r="L9" s="3">
        <f>IFERROR(__xludf.DUMMYFUNCTION("""COMPUTED_VALUE"""),0.03)</f>
        <v>0.03</v>
      </c>
      <c r="M9" s="11">
        <f>IFERROR(__xludf.DUMMYFUNCTION("""COMPUTED_VALUE"""),44176.66666666667)</f>
        <v>44176.66667</v>
      </c>
      <c r="N9" s="3">
        <f>IFERROR(__xludf.DUMMYFUNCTION("""COMPUTED_VALUE"""),0.02)</f>
        <v>0.02</v>
      </c>
      <c r="O9" s="11">
        <f>IFERROR(__xludf.DUMMYFUNCTION("""COMPUTED_VALUE"""),44540.66666666667)</f>
        <v>44540.66667</v>
      </c>
      <c r="P9" s="3">
        <f>IFERROR(__xludf.DUMMYFUNCTION("""COMPUTED_VALUE"""),0.02)</f>
        <v>0.02</v>
      </c>
      <c r="Q9" s="11">
        <f>IFERROR(__xludf.DUMMYFUNCTION("""COMPUTED_VALUE"""),44902.66666666667)</f>
        <v>44902.66667</v>
      </c>
      <c r="R9" s="3">
        <f>IFERROR(__xludf.DUMMYFUNCTION("""COMPUTED_VALUE"""),0.01)</f>
        <v>0.01</v>
      </c>
      <c r="S9" s="11">
        <f>IFERROR(__xludf.DUMMYFUNCTION("""COMPUTED_VALUE"""),45280.66666666667)</f>
        <v>45280.66667</v>
      </c>
      <c r="T9" s="3">
        <f>IFERROR(__xludf.DUMMYFUNCTION("""COMPUTED_VALUE"""),0.02)</f>
        <v>0.02</v>
      </c>
      <c r="U9" s="3">
        <f>IFERROR(__xludf.DUMMYFUNCTION("""COMPUTED_VALUE"""),45631.66666666667)</f>
        <v>45631.66667</v>
      </c>
      <c r="V9" s="3">
        <f>IFERROR(__xludf.DUMMYFUNCTION("""COMPUTED_VALUE"""),0.01)</f>
        <v>0.01</v>
      </c>
      <c r="W9" s="3"/>
      <c r="X9" s="3"/>
      <c r="Y9" s="3"/>
      <c r="Z9" s="3"/>
      <c r="AA9" s="3"/>
      <c r="AB9" s="3"/>
      <c r="AC9" s="3"/>
      <c r="AD9" s="3"/>
    </row>
    <row r="10">
      <c r="A10" s="11">
        <f>IFERROR(__xludf.DUMMYFUNCTION("""COMPUTED_VALUE"""),41989.66666666667)</f>
        <v>41989.66667</v>
      </c>
      <c r="B10" s="10">
        <f>IFERROR(__xludf.DUMMYFUNCTION("""COMPUTED_VALUE"""),0.04)</f>
        <v>0.04</v>
      </c>
      <c r="C10" s="11">
        <f>IFERROR(__xludf.DUMMYFUNCTION("""COMPUTED_VALUE"""),42349.66666666667)</f>
        <v>42349.66667</v>
      </c>
      <c r="D10" s="10">
        <f>IFERROR(__xludf.DUMMYFUNCTION("""COMPUTED_VALUE"""),0.04)</f>
        <v>0.04</v>
      </c>
      <c r="E10" s="11"/>
      <c r="F10" s="10"/>
      <c r="G10" s="11">
        <f>IFERROR(__xludf.DUMMYFUNCTION("""COMPUTED_VALUE"""),43088.66666666667)</f>
        <v>43088.66667</v>
      </c>
      <c r="H10" s="10">
        <f>IFERROR(__xludf.DUMMYFUNCTION("""COMPUTED_VALUE"""),0.04)</f>
        <v>0.04</v>
      </c>
      <c r="I10" s="11">
        <f>IFERROR(__xludf.DUMMYFUNCTION("""COMPUTED_VALUE"""),43441.66666666667)</f>
        <v>43441.66667</v>
      </c>
      <c r="J10" s="10">
        <f>IFERROR(__xludf.DUMMYFUNCTION("""COMPUTED_VALUE"""),0.03)</f>
        <v>0.03</v>
      </c>
      <c r="K10" s="11">
        <f>IFERROR(__xludf.DUMMYFUNCTION("""COMPUTED_VALUE"""),43815.66666666667)</f>
        <v>43815.66667</v>
      </c>
      <c r="L10" s="3">
        <f>IFERROR(__xludf.DUMMYFUNCTION("""COMPUTED_VALUE"""),0.03)</f>
        <v>0.03</v>
      </c>
      <c r="M10" s="11">
        <f>IFERROR(__xludf.DUMMYFUNCTION("""COMPUTED_VALUE"""),44180.66666666667)</f>
        <v>44180.66667</v>
      </c>
      <c r="N10" s="3">
        <f>IFERROR(__xludf.DUMMYFUNCTION("""COMPUTED_VALUE"""),0.02)</f>
        <v>0.02</v>
      </c>
      <c r="O10" s="11">
        <f>IFERROR(__xludf.DUMMYFUNCTION("""COMPUTED_VALUE"""),44550.66666666667)</f>
        <v>44550.66667</v>
      </c>
      <c r="P10" s="3">
        <f>IFERROR(__xludf.DUMMYFUNCTION("""COMPUTED_VALUE"""),0.02)</f>
        <v>0.02</v>
      </c>
      <c r="Q10" s="11">
        <f>IFERROR(__xludf.DUMMYFUNCTION("""COMPUTED_VALUE"""),44904.66666666667)</f>
        <v>44904.66667</v>
      </c>
      <c r="R10" s="3">
        <f>IFERROR(__xludf.DUMMYFUNCTION("""COMPUTED_VALUE"""),0.01)</f>
        <v>0.01</v>
      </c>
      <c r="S10" s="11">
        <f>IFERROR(__xludf.DUMMYFUNCTION("""COMPUTED_VALUE"""),45281.66666666667)</f>
        <v>45281.66667</v>
      </c>
      <c r="T10" s="3">
        <f>IFERROR(__xludf.DUMMYFUNCTION("""COMPUTED_VALUE"""),0.01)</f>
        <v>0.01</v>
      </c>
      <c r="U10" s="3">
        <f>IFERROR(__xludf.DUMMYFUNCTION("""COMPUTED_VALUE"""),45635.66666666667)</f>
        <v>45635.66667</v>
      </c>
      <c r="V10" s="3">
        <f>IFERROR(__xludf.DUMMYFUNCTION("""COMPUTED_VALUE"""),0.01)</f>
        <v>0.01</v>
      </c>
      <c r="W10" s="3"/>
      <c r="X10" s="3"/>
      <c r="Y10" s="3"/>
      <c r="Z10" s="3"/>
      <c r="AA10" s="3"/>
      <c r="AB10" s="3"/>
      <c r="AC10" s="3"/>
      <c r="AD10" s="3"/>
    </row>
    <row r="11">
      <c r="A11" s="11">
        <f>IFERROR(__xludf.DUMMYFUNCTION("""COMPUTED_VALUE"""),41990.66666666667)</f>
        <v>41990.66667</v>
      </c>
      <c r="B11" s="10">
        <f>IFERROR(__xludf.DUMMYFUNCTION("""COMPUTED_VALUE"""),0.04)</f>
        <v>0.04</v>
      </c>
      <c r="C11" s="11">
        <f>IFERROR(__xludf.DUMMYFUNCTION("""COMPUTED_VALUE"""),42354.66666666667)</f>
        <v>42354.66667</v>
      </c>
      <c r="D11" s="10">
        <f>IFERROR(__xludf.DUMMYFUNCTION("""COMPUTED_VALUE"""),0.04)</f>
        <v>0.04</v>
      </c>
      <c r="E11" s="11"/>
      <c r="F11" s="10"/>
      <c r="G11" s="11">
        <f>IFERROR(__xludf.DUMMYFUNCTION("""COMPUTED_VALUE"""),43089.66666666667)</f>
        <v>43089.66667</v>
      </c>
      <c r="H11" s="10">
        <f>IFERROR(__xludf.DUMMYFUNCTION("""COMPUTED_VALUE"""),0.03)</f>
        <v>0.03</v>
      </c>
      <c r="I11" s="11">
        <f>IFERROR(__xludf.DUMMYFUNCTION("""COMPUTED_VALUE"""),43444.66666666667)</f>
        <v>43444.66667</v>
      </c>
      <c r="J11" s="10">
        <f>IFERROR(__xludf.DUMMYFUNCTION("""COMPUTED_VALUE"""),0.03)</f>
        <v>0.03</v>
      </c>
      <c r="K11" s="11">
        <f>IFERROR(__xludf.DUMMYFUNCTION("""COMPUTED_VALUE"""),43816.66666666667)</f>
        <v>43816.66667</v>
      </c>
      <c r="L11" s="3">
        <f>IFERROR(__xludf.DUMMYFUNCTION("""COMPUTED_VALUE"""),0.03)</f>
        <v>0.03</v>
      </c>
      <c r="M11" s="11">
        <f>IFERROR(__xludf.DUMMYFUNCTION("""COMPUTED_VALUE"""),44182.66666666667)</f>
        <v>44182.66667</v>
      </c>
      <c r="N11" s="3">
        <f>IFERROR(__xludf.DUMMYFUNCTION("""COMPUTED_VALUE"""),0.02)</f>
        <v>0.02</v>
      </c>
      <c r="O11" s="11">
        <f>IFERROR(__xludf.DUMMYFUNCTION("""COMPUTED_VALUE"""),44551.66666666667)</f>
        <v>44551.66667</v>
      </c>
      <c r="P11" s="3">
        <f>IFERROR(__xludf.DUMMYFUNCTION("""COMPUTED_VALUE"""),0.02)</f>
        <v>0.02</v>
      </c>
      <c r="Q11" s="11">
        <f>IFERROR(__xludf.DUMMYFUNCTION("""COMPUTED_VALUE"""),44908.66666666667)</f>
        <v>44908.66667</v>
      </c>
      <c r="R11" s="3">
        <f>IFERROR(__xludf.DUMMYFUNCTION("""COMPUTED_VALUE"""),0.01)</f>
        <v>0.01</v>
      </c>
      <c r="S11" s="11">
        <f>IFERROR(__xludf.DUMMYFUNCTION("""COMPUTED_VALUE"""),45282.66666666667)</f>
        <v>45282.66667</v>
      </c>
      <c r="T11" s="3">
        <f>IFERROR(__xludf.DUMMYFUNCTION("""COMPUTED_VALUE"""),0.02)</f>
        <v>0.02</v>
      </c>
      <c r="U11" s="3">
        <f>IFERROR(__xludf.DUMMYFUNCTION("""COMPUTED_VALUE"""),45636.66666666667)</f>
        <v>45636.66667</v>
      </c>
      <c r="V11" s="3">
        <f>IFERROR(__xludf.DUMMYFUNCTION("""COMPUTED_VALUE"""),0.01)</f>
        <v>0.01</v>
      </c>
      <c r="W11" s="3"/>
      <c r="X11" s="3"/>
      <c r="Y11" s="3"/>
      <c r="Z11" s="3"/>
      <c r="AA11" s="3"/>
      <c r="AB11" s="3"/>
      <c r="AC11" s="3"/>
      <c r="AD11" s="3"/>
    </row>
    <row r="12">
      <c r="A12" s="11">
        <f>IFERROR(__xludf.DUMMYFUNCTION("""COMPUTED_VALUE"""),41996.66666666667)</f>
        <v>41996.66667</v>
      </c>
      <c r="B12" s="10">
        <f>IFERROR(__xludf.DUMMYFUNCTION("""COMPUTED_VALUE"""),0.04)</f>
        <v>0.04</v>
      </c>
      <c r="C12" s="11">
        <f>IFERROR(__xludf.DUMMYFUNCTION("""COMPUTED_VALUE"""),42359.66666666667)</f>
        <v>42359.66667</v>
      </c>
      <c r="D12" s="10">
        <f>IFERROR(__xludf.DUMMYFUNCTION("""COMPUTED_VALUE"""),0.05)</f>
        <v>0.05</v>
      </c>
      <c r="E12" s="11"/>
      <c r="F12" s="10"/>
      <c r="G12" s="11">
        <f>IFERROR(__xludf.DUMMYFUNCTION("""COMPUTED_VALUE"""),43091.66666666667)</f>
        <v>43091.66667</v>
      </c>
      <c r="H12" s="10">
        <f>IFERROR(__xludf.DUMMYFUNCTION("""COMPUTED_VALUE"""),0.03)</f>
        <v>0.03</v>
      </c>
      <c r="I12" s="11">
        <f>IFERROR(__xludf.DUMMYFUNCTION("""COMPUTED_VALUE"""),43455.66666666667)</f>
        <v>43455.66667</v>
      </c>
      <c r="J12" s="10">
        <f>IFERROR(__xludf.DUMMYFUNCTION("""COMPUTED_VALUE"""),0.03)</f>
        <v>0.03</v>
      </c>
      <c r="K12" s="11">
        <f>IFERROR(__xludf.DUMMYFUNCTION("""COMPUTED_VALUE"""),43817.66666666667)</f>
        <v>43817.66667</v>
      </c>
      <c r="L12" s="3">
        <f>IFERROR(__xludf.DUMMYFUNCTION("""COMPUTED_VALUE"""),0.03)</f>
        <v>0.03</v>
      </c>
      <c r="M12" s="11">
        <f>IFERROR(__xludf.DUMMYFUNCTION("""COMPUTED_VALUE"""),44183.66666666667)</f>
        <v>44183.66667</v>
      </c>
      <c r="N12" s="3">
        <f>IFERROR(__xludf.DUMMYFUNCTION("""COMPUTED_VALUE"""),0.02)</f>
        <v>0.02</v>
      </c>
      <c r="O12" s="11">
        <f>IFERROR(__xludf.DUMMYFUNCTION("""COMPUTED_VALUE"""),44554.59027777778)</f>
        <v>44554.59028</v>
      </c>
      <c r="P12" s="3">
        <f>IFERROR(__xludf.DUMMYFUNCTION("""COMPUTED_VALUE"""),0.02)</f>
        <v>0.02</v>
      </c>
      <c r="Q12" s="11">
        <f>IFERROR(__xludf.DUMMYFUNCTION("""COMPUTED_VALUE"""),44915.66666666667)</f>
        <v>44915.66667</v>
      </c>
      <c r="R12" s="3">
        <f>IFERROR(__xludf.DUMMYFUNCTION("""COMPUTED_VALUE"""),0.01)</f>
        <v>0.01</v>
      </c>
      <c r="S12" s="11">
        <f>IFERROR(__xludf.DUMMYFUNCTION("""COMPUTED_VALUE"""),45287.66666666667)</f>
        <v>45287.66667</v>
      </c>
      <c r="T12" s="3">
        <f>IFERROR(__xludf.DUMMYFUNCTION("""COMPUTED_VALUE"""),0.02)</f>
        <v>0.02</v>
      </c>
      <c r="U12" s="3">
        <f>IFERROR(__xludf.DUMMYFUNCTION("""COMPUTED_VALUE"""),45638.66666666667)</f>
        <v>45638.66667</v>
      </c>
      <c r="V12" s="3">
        <f>IFERROR(__xludf.DUMMYFUNCTION("""COMPUTED_VALUE"""),0.01)</f>
        <v>0.01</v>
      </c>
      <c r="W12" s="3"/>
      <c r="X12" s="3"/>
      <c r="Y12" s="3"/>
      <c r="Z12" s="3"/>
      <c r="AA12" s="3"/>
      <c r="AB12" s="3"/>
      <c r="AC12" s="3"/>
      <c r="AD12" s="3"/>
    </row>
    <row r="13">
      <c r="A13" s="11">
        <f>IFERROR(__xludf.DUMMYFUNCTION("""COMPUTED_VALUE"""),42002.66666666667)</f>
        <v>42002.66667</v>
      </c>
      <c r="B13" s="10">
        <f>IFERROR(__xludf.DUMMYFUNCTION("""COMPUTED_VALUE"""),0.05)</f>
        <v>0.05</v>
      </c>
      <c r="C13" s="11">
        <f>IFERROR(__xludf.DUMMYFUNCTION("""COMPUTED_VALUE"""),42362.66666666667)</f>
        <v>42362.66667</v>
      </c>
      <c r="D13" s="10">
        <f>IFERROR(__xludf.DUMMYFUNCTION("""COMPUTED_VALUE"""),0.05)</f>
        <v>0.05</v>
      </c>
      <c r="E13" s="11"/>
      <c r="F13" s="10"/>
      <c r="G13" s="11">
        <f>IFERROR(__xludf.DUMMYFUNCTION("""COMPUTED_VALUE"""),43096.66666666667)</f>
        <v>43096.66667</v>
      </c>
      <c r="H13" s="10">
        <f>IFERROR(__xludf.DUMMYFUNCTION("""COMPUTED_VALUE"""),0.04)</f>
        <v>0.04</v>
      </c>
      <c r="I13" s="11">
        <f>IFERROR(__xludf.DUMMYFUNCTION("""COMPUTED_VALUE"""),43458.59027777778)</f>
        <v>43458.59028</v>
      </c>
      <c r="J13" s="10">
        <f>IFERROR(__xludf.DUMMYFUNCTION("""COMPUTED_VALUE"""),0.03)</f>
        <v>0.03</v>
      </c>
      <c r="K13" s="11">
        <f>IFERROR(__xludf.DUMMYFUNCTION("""COMPUTED_VALUE"""),43822.66666666667)</f>
        <v>43822.66667</v>
      </c>
      <c r="L13" s="3">
        <f>IFERROR(__xludf.DUMMYFUNCTION("""COMPUTED_VALUE"""),0.03)</f>
        <v>0.03</v>
      </c>
      <c r="M13" s="11">
        <f>IFERROR(__xludf.DUMMYFUNCTION("""COMPUTED_VALUE"""),44186.66666666667)</f>
        <v>44186.66667</v>
      </c>
      <c r="N13" s="3">
        <f>IFERROR(__xludf.DUMMYFUNCTION("""COMPUTED_VALUE"""),0.02)</f>
        <v>0.02</v>
      </c>
      <c r="O13" s="11"/>
      <c r="P13" s="3"/>
      <c r="Q13" s="11">
        <f>IFERROR(__xludf.DUMMYFUNCTION("""COMPUTED_VALUE"""),44923.66666666667)</f>
        <v>44923.66667</v>
      </c>
      <c r="R13" s="3">
        <f>IFERROR(__xludf.DUMMYFUNCTION("""COMPUTED_VALUE"""),0.01)</f>
        <v>0.01</v>
      </c>
      <c r="S13" s="11">
        <f>IFERROR(__xludf.DUMMYFUNCTION("""COMPUTED_VALUE"""),45288.66666666667)</f>
        <v>45288.66667</v>
      </c>
      <c r="T13" s="3">
        <f>IFERROR(__xludf.DUMMYFUNCTION("""COMPUTED_VALUE"""),0.02)</f>
        <v>0.02</v>
      </c>
      <c r="U13" s="3">
        <f>IFERROR(__xludf.DUMMYFUNCTION("""COMPUTED_VALUE"""),45642.66666666667)</f>
        <v>45642.66667</v>
      </c>
      <c r="V13" s="3">
        <f>IFERROR(__xludf.DUMMYFUNCTION("""COMPUTED_VALUE"""),0.01)</f>
        <v>0.01</v>
      </c>
      <c r="W13" s="3"/>
      <c r="X13" s="3"/>
      <c r="Y13" s="3"/>
      <c r="Z13" s="3"/>
      <c r="AA13" s="3"/>
      <c r="AB13" s="3"/>
      <c r="AC13" s="3"/>
      <c r="AD13" s="3"/>
    </row>
    <row r="14">
      <c r="A14" s="11"/>
      <c r="B14" s="10"/>
      <c r="C14" s="11"/>
      <c r="D14" s="10"/>
      <c r="E14" s="11"/>
      <c r="F14" s="10"/>
      <c r="G14" s="11">
        <f>IFERROR(__xludf.DUMMYFUNCTION("""COMPUTED_VALUE"""),43097.66666666667)</f>
        <v>43097.66667</v>
      </c>
      <c r="H14" s="10">
        <f>IFERROR(__xludf.DUMMYFUNCTION("""COMPUTED_VALUE"""),0.04)</f>
        <v>0.04</v>
      </c>
      <c r="I14" s="11"/>
      <c r="J14" s="10"/>
      <c r="K14" s="11"/>
      <c r="L14" s="3"/>
      <c r="M14" s="11"/>
      <c r="N14" s="3"/>
      <c r="O14" s="11"/>
      <c r="P14" s="3"/>
      <c r="Q14" s="11">
        <f>IFERROR(__xludf.DUMMYFUNCTION("""COMPUTED_VALUE"""),44925.66666666667)</f>
        <v>44925.66667</v>
      </c>
      <c r="R14" s="3">
        <f>IFERROR(__xludf.DUMMYFUNCTION("""COMPUTED_VALUE"""),0.02)</f>
        <v>0.02</v>
      </c>
      <c r="S14" s="11">
        <f>IFERROR(__xludf.DUMMYFUNCTION("""COMPUTED_VALUE"""),45289.66666666667)</f>
        <v>45289.66667</v>
      </c>
      <c r="T14" s="3">
        <f>IFERROR(__xludf.DUMMYFUNCTION("""COMPUTED_VALUE"""),0.02)</f>
        <v>0.02</v>
      </c>
      <c r="U14" s="3">
        <f>IFERROR(__xludf.DUMMYFUNCTION("""COMPUTED_VALUE"""),45644.66666666667)</f>
        <v>45644.66667</v>
      </c>
      <c r="V14" s="3">
        <f>IFERROR(__xludf.DUMMYFUNCTION("""COMPUTED_VALUE"""),0.01)</f>
        <v>0.01</v>
      </c>
      <c r="W14" s="3"/>
      <c r="X14" s="3"/>
      <c r="Y14" s="3"/>
      <c r="Z14" s="3"/>
      <c r="AA14" s="3"/>
      <c r="AB14" s="3"/>
      <c r="AC14" s="3"/>
      <c r="AD14" s="3"/>
    </row>
    <row r="15">
      <c r="A15" s="11"/>
      <c r="B15" s="10"/>
      <c r="C15" s="11"/>
      <c r="D15" s="10"/>
      <c r="E15" s="11"/>
      <c r="F15" s="10"/>
      <c r="G15" s="11"/>
      <c r="H15" s="10"/>
      <c r="I15" s="11"/>
      <c r="J15" s="10"/>
      <c r="K15" s="11"/>
      <c r="L15" s="3"/>
      <c r="M15" s="11"/>
      <c r="N15" s="3"/>
      <c r="O15" s="11"/>
      <c r="P15" s="3"/>
      <c r="Q15" s="12"/>
      <c r="R15" s="3"/>
      <c r="S15" s="11"/>
      <c r="T15" s="3"/>
      <c r="U15" s="3">
        <f>IFERROR(__xludf.DUMMYFUNCTION("""COMPUTED_VALUE"""),45645.66666666667)</f>
        <v>45645.66667</v>
      </c>
      <c r="V15" s="3">
        <f>IFERROR(__xludf.DUMMYFUNCTION("""COMPUTED_VALUE"""),0.01)</f>
        <v>0.01</v>
      </c>
      <c r="W15" s="3"/>
      <c r="X15" s="3"/>
      <c r="Y15" s="3"/>
      <c r="Z15" s="3"/>
      <c r="AA15" s="3"/>
      <c r="AB15" s="3"/>
      <c r="AC15" s="3"/>
      <c r="AD15" s="3"/>
    </row>
    <row r="16">
      <c r="A16" s="11"/>
      <c r="B16" s="10"/>
      <c r="C16" s="11"/>
      <c r="D16" s="10"/>
      <c r="E16" s="11"/>
      <c r="F16" s="10"/>
      <c r="G16" s="11"/>
      <c r="H16" s="10"/>
      <c r="I16" s="11"/>
      <c r="J16" s="10"/>
      <c r="K16" s="11"/>
      <c r="L16" s="3"/>
      <c r="M16" s="11"/>
      <c r="N16" s="3"/>
      <c r="O16" s="11"/>
      <c r="P16" s="3"/>
      <c r="Q16" s="12"/>
      <c r="R16" s="3"/>
      <c r="S16" s="11"/>
      <c r="T16" s="3"/>
      <c r="U16" s="3">
        <f>IFERROR(__xludf.DUMMYFUNCTION("""COMPUTED_VALUE"""),45646.66666666667)</f>
        <v>45646.66667</v>
      </c>
      <c r="V16" s="3">
        <f>IFERROR(__xludf.DUMMYFUNCTION("""COMPUTED_VALUE"""),0.01)</f>
        <v>0.01</v>
      </c>
      <c r="W16" s="3"/>
      <c r="X16" s="3"/>
      <c r="Y16" s="3"/>
      <c r="Z16" s="3"/>
      <c r="AA16" s="3"/>
      <c r="AB16" s="3"/>
      <c r="AC16" s="3"/>
      <c r="AD16" s="3"/>
    </row>
    <row r="17">
      <c r="A17" s="11"/>
      <c r="B17" s="10"/>
      <c r="C17" s="11"/>
      <c r="D17" s="10"/>
      <c r="E17" s="11"/>
      <c r="F17" s="10"/>
      <c r="G17" s="11"/>
      <c r="H17" s="10"/>
      <c r="I17" s="11"/>
      <c r="J17" s="10"/>
      <c r="K17" s="11"/>
      <c r="L17" s="3"/>
      <c r="M17" s="11"/>
      <c r="N17" s="3"/>
      <c r="O17" s="12"/>
      <c r="P17" s="3"/>
      <c r="Q17" s="12"/>
      <c r="R17" s="3"/>
      <c r="S17" s="11"/>
      <c r="T17" s="3"/>
      <c r="U17" s="3">
        <f>IFERROR(__xludf.DUMMYFUNCTION("""COMPUTED_VALUE"""),45649.66666666667)</f>
        <v>45649.66667</v>
      </c>
      <c r="V17" s="3">
        <f>IFERROR(__xludf.DUMMYFUNCTION("""COMPUTED_VALUE"""),0.01)</f>
        <v>0.01</v>
      </c>
      <c r="W17" s="3"/>
      <c r="X17" s="3"/>
      <c r="Y17" s="3"/>
      <c r="Z17" s="3"/>
      <c r="AA17" s="3"/>
      <c r="AB17" s="3"/>
      <c r="AC17" s="3"/>
      <c r="AD17" s="3"/>
    </row>
    <row r="18">
      <c r="A18" s="11"/>
      <c r="B18" s="10"/>
      <c r="C18" s="11"/>
      <c r="D18" s="10"/>
      <c r="E18" s="11"/>
      <c r="F18" s="10"/>
      <c r="G18" s="11"/>
      <c r="H18" s="10"/>
      <c r="I18" s="11"/>
      <c r="J18" s="10"/>
      <c r="K18" s="11"/>
      <c r="L18" s="3"/>
      <c r="M18" s="11"/>
      <c r="N18" s="3"/>
      <c r="O18" s="12"/>
      <c r="P18" s="3"/>
      <c r="Q18" s="12"/>
      <c r="R18" s="3"/>
      <c r="S18" s="11"/>
      <c r="T18" s="3"/>
      <c r="U18" s="3">
        <f>IFERROR(__xludf.DUMMYFUNCTION("""COMPUTED_VALUE"""),45653.66666666667)</f>
        <v>45653.66667</v>
      </c>
      <c r="V18" s="3">
        <f>IFERROR(__xludf.DUMMYFUNCTION("""COMPUTED_VALUE"""),0.01)</f>
        <v>0.01</v>
      </c>
      <c r="W18" s="3"/>
      <c r="X18" s="3"/>
      <c r="Y18" s="3"/>
      <c r="Z18" s="3"/>
      <c r="AA18" s="3"/>
      <c r="AB18" s="3"/>
      <c r="AC18" s="3"/>
      <c r="AD18" s="3"/>
    </row>
    <row r="19">
      <c r="A19" s="11"/>
      <c r="B19" s="10"/>
      <c r="C19" s="12"/>
      <c r="D19" s="3"/>
      <c r="E19" s="11"/>
      <c r="F19" s="10"/>
      <c r="G19" s="11"/>
      <c r="H19" s="10"/>
      <c r="I19" s="11"/>
      <c r="J19" s="10"/>
      <c r="K19" s="11"/>
      <c r="L19" s="3"/>
      <c r="M19" s="12"/>
      <c r="N19" s="3"/>
      <c r="O19" s="12"/>
      <c r="P19" s="3"/>
      <c r="Q19" s="12"/>
      <c r="R19" s="3"/>
      <c r="S19" s="11"/>
      <c r="T19" s="3"/>
      <c r="U19" s="3">
        <f>IFERROR(__xludf.DUMMYFUNCTION("""COMPUTED_VALUE"""),45656.66666666667)</f>
        <v>45656.66667</v>
      </c>
      <c r="V19" s="3">
        <f>IFERROR(__xludf.DUMMYFUNCTION("""COMPUTED_VALUE"""),0.01)</f>
        <v>0.01</v>
      </c>
      <c r="W19" s="3"/>
      <c r="X19" s="3"/>
      <c r="Y19" s="3"/>
      <c r="Z19" s="3"/>
      <c r="AA19" s="3"/>
      <c r="AB19" s="3"/>
      <c r="AC19" s="3"/>
      <c r="AD19" s="3"/>
    </row>
    <row r="20">
      <c r="A20" s="11"/>
      <c r="B20" s="10"/>
      <c r="C20" s="12"/>
      <c r="D20" s="3"/>
      <c r="E20" s="11"/>
      <c r="F20" s="10"/>
      <c r="G20" s="11"/>
      <c r="H20" s="10"/>
      <c r="I20" s="11"/>
      <c r="J20" s="10"/>
      <c r="K20" s="11"/>
      <c r="L20" s="3"/>
      <c r="M20" s="12"/>
      <c r="N20" s="3"/>
      <c r="O20" s="12"/>
      <c r="P20" s="3"/>
      <c r="Q20" s="12"/>
      <c r="R20" s="3"/>
      <c r="S20" s="11"/>
      <c r="T20" s="3"/>
      <c r="U20" s="3">
        <f>IFERROR(__xludf.DUMMYFUNCTION("""COMPUTED_VALUE"""),45657.59027777778)</f>
        <v>45657.59028</v>
      </c>
      <c r="V20" s="3">
        <f>IFERROR(__xludf.DUMMYFUNCTION("""COMPUTED_VALUE"""),0.01)</f>
        <v>0.01</v>
      </c>
      <c r="W20" s="3"/>
      <c r="X20" s="3"/>
      <c r="Y20" s="3"/>
      <c r="Z20" s="3"/>
      <c r="AA20" s="3"/>
      <c r="AB20" s="3"/>
      <c r="AC20" s="3"/>
      <c r="AD20" s="3"/>
    </row>
    <row r="21" ht="15.75" customHeight="1">
      <c r="A21" s="11"/>
      <c r="B21" s="10"/>
      <c r="C21" s="12"/>
      <c r="D21" s="3"/>
      <c r="E21" s="11"/>
      <c r="F21" s="10"/>
      <c r="G21" s="11"/>
      <c r="H21" s="10"/>
      <c r="I21" s="11"/>
      <c r="J21" s="10"/>
      <c r="K21" s="11"/>
      <c r="L21" s="3"/>
      <c r="M21" s="12"/>
      <c r="N21" s="3"/>
      <c r="O21" s="12"/>
      <c r="P21" s="3"/>
      <c r="Q21" s="12"/>
      <c r="R21" s="3"/>
      <c r="S21" s="11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ht="15.75" customHeight="1">
      <c r="A22" s="11"/>
      <c r="B22" s="10"/>
      <c r="C22" s="12"/>
      <c r="D22" s="3"/>
      <c r="E22" s="11"/>
      <c r="F22" s="10"/>
      <c r="G22" s="11"/>
      <c r="H22" s="10"/>
      <c r="I22" s="11"/>
      <c r="J22" s="10"/>
      <c r="K22" s="12"/>
      <c r="L22" s="3"/>
      <c r="M22" s="12"/>
      <c r="N22" s="3"/>
      <c r="O22" s="12"/>
      <c r="P22" s="3"/>
      <c r="Q22" s="12"/>
      <c r="R22" s="3"/>
      <c r="S22" s="11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ht="15.75" customHeight="1">
      <c r="A23" s="11"/>
      <c r="B23" s="10"/>
      <c r="C23" s="12"/>
      <c r="D23" s="3"/>
      <c r="E23" s="11"/>
      <c r="F23" s="10"/>
      <c r="G23" s="12"/>
      <c r="H23" s="3"/>
      <c r="I23" s="11"/>
      <c r="J23" s="10"/>
      <c r="K23" s="12"/>
      <c r="L23" s="3"/>
      <c r="M23" s="12"/>
      <c r="N23" s="3"/>
      <c r="O23" s="12"/>
      <c r="P23" s="3"/>
      <c r="Q23" s="12"/>
      <c r="R23" s="3"/>
      <c r="S23" s="11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ht="15.75" customHeight="1">
      <c r="A24" s="3"/>
      <c r="B24" s="3"/>
      <c r="C24" s="3"/>
      <c r="D24" s="3"/>
      <c r="E24" s="11"/>
      <c r="F24" s="10"/>
      <c r="G24" s="12"/>
      <c r="H24" s="3"/>
      <c r="I24" s="11"/>
      <c r="J24" s="10"/>
      <c r="K24" s="12"/>
      <c r="L24" s="3"/>
      <c r="M24" s="12"/>
      <c r="N24" s="3"/>
      <c r="O24" s="12"/>
      <c r="P24" s="3"/>
      <c r="Q24" s="12"/>
      <c r="R24" s="3"/>
      <c r="S24" s="11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ht="15.75" customHeight="1">
      <c r="A25" s="3"/>
      <c r="B25" s="3"/>
      <c r="C25" s="3"/>
      <c r="D25" s="3"/>
      <c r="E25" s="11"/>
      <c r="F25" s="10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ht="15.75" customHeight="1">
      <c r="A26" s="3"/>
      <c r="B26" s="3"/>
      <c r="C26" s="3"/>
      <c r="D26" s="3"/>
      <c r="E26" s="12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12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1.14"/>
    <col customWidth="1" min="2" max="11" width="8.71"/>
  </cols>
  <sheetData>
    <row r="1">
      <c r="A1" s="1" t="s">
        <v>10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</v>
      </c>
      <c r="B2" s="1">
        <v>14.0</v>
      </c>
      <c r="C2" s="1">
        <v>4.0</v>
      </c>
      <c r="D2" s="1">
        <v>-55.0</v>
      </c>
      <c r="E2" s="1">
        <v>-3.0</v>
      </c>
      <c r="F2" s="1">
        <v>5.0</v>
      </c>
      <c r="G2" s="1">
        <v>-16.0</v>
      </c>
      <c r="H2" s="1">
        <v>-3.0</v>
      </c>
      <c r="I2" s="1">
        <v>13.0</v>
      </c>
      <c r="J2" s="1">
        <v>-80.0</v>
      </c>
      <c r="K2" s="1">
        <v>-239.0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</v>
      </c>
      <c r="B3" s="1">
        <v>6.0</v>
      </c>
      <c r="C3" s="1">
        <v>7.0</v>
      </c>
      <c r="D3" s="1">
        <v>14.0</v>
      </c>
      <c r="E3" s="1">
        <v>15.0</v>
      </c>
      <c r="F3" s="1">
        <v>15.0</v>
      </c>
      <c r="G3" s="1">
        <v>20.0</v>
      </c>
      <c r="H3" s="1">
        <v>21.0</v>
      </c>
      <c r="I3" s="1">
        <v>20.0</v>
      </c>
      <c r="J3" s="1">
        <v>21.0</v>
      </c>
      <c r="K3" s="1">
        <v>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</v>
      </c>
      <c r="B4" s="1">
        <v>10.0</v>
      </c>
      <c r="C4" s="1">
        <v>17.0</v>
      </c>
      <c r="D4" s="1">
        <v>45.0</v>
      </c>
      <c r="E4" s="1">
        <v>42.0</v>
      </c>
      <c r="F4" s="1">
        <v>53.0</v>
      </c>
      <c r="G4" s="1">
        <v>68.0</v>
      </c>
      <c r="H4" s="1">
        <v>73.0</v>
      </c>
      <c r="I4" s="1">
        <v>68.0</v>
      </c>
      <c r="J4" s="1">
        <v>71.0</v>
      </c>
      <c r="K4" s="1">
        <v>62.0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</v>
      </c>
      <c r="B5" s="1">
        <v>16.0</v>
      </c>
      <c r="C5" s="1">
        <v>25.0</v>
      </c>
      <c r="D5" s="1">
        <v>60.0</v>
      </c>
      <c r="E5" s="1">
        <v>57.0</v>
      </c>
      <c r="F5" s="1">
        <v>69.0</v>
      </c>
      <c r="G5" s="1">
        <v>89.0</v>
      </c>
      <c r="H5" s="1">
        <v>94.0</v>
      </c>
      <c r="I5" s="1">
        <v>89.0</v>
      </c>
      <c r="J5" s="1">
        <v>93.0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</v>
      </c>
      <c r="B6" s="1">
        <v>1.0</v>
      </c>
      <c r="C6" s="1">
        <v>2.0</v>
      </c>
      <c r="D6" s="1">
        <v>3.0</v>
      </c>
      <c r="E6" s="1">
        <v>5.0</v>
      </c>
      <c r="F6" s="1">
        <v>8.0</v>
      </c>
      <c r="G6" s="1">
        <v>12.0</v>
      </c>
      <c r="H6" s="1">
        <v>18.0</v>
      </c>
      <c r="I6" s="1">
        <v>28.0</v>
      </c>
      <c r="J6" s="1">
        <v>36.0</v>
      </c>
      <c r="K6" s="1">
        <v>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</v>
      </c>
      <c r="B7" s="1">
        <v>0.0</v>
      </c>
      <c r="C7" s="1">
        <v>0.0</v>
      </c>
      <c r="D7" s="1">
        <v>39.0</v>
      </c>
      <c r="E7" s="1">
        <v>7.0</v>
      </c>
      <c r="F7" s="1">
        <v>18.0</v>
      </c>
      <c r="G7" s="1">
        <v>0.0</v>
      </c>
      <c r="H7" s="1">
        <v>0.0</v>
      </c>
      <c r="I7" s="1">
        <v>0.0</v>
      </c>
      <c r="J7" s="1">
        <v>5.0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</v>
      </c>
      <c r="B8" s="1">
        <v>0.0</v>
      </c>
      <c r="C8" s="1">
        <v>0.0</v>
      </c>
      <c r="D8" s="1">
        <v>73.0</v>
      </c>
      <c r="E8" s="1">
        <v>0.0</v>
      </c>
      <c r="F8" s="1">
        <v>0.0</v>
      </c>
      <c r="G8" s="1">
        <v>0.0</v>
      </c>
      <c r="H8" s="1">
        <v>-4.0</v>
      </c>
      <c r="I8" s="1">
        <v>-75.0</v>
      </c>
      <c r="J8" s="1">
        <v>-9.0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2.0</v>
      </c>
      <c r="I9" s="1">
        <v>1.0</v>
      </c>
      <c r="J9" s="1">
        <v>15.0</v>
      </c>
      <c r="K9" s="1">
        <v>197.0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</v>
      </c>
      <c r="B10" s="1">
        <v>0.0</v>
      </c>
      <c r="C10" s="1">
        <v>0.0</v>
      </c>
      <c r="D10" s="1">
        <v>1.0</v>
      </c>
      <c r="E10" s="1">
        <v>1.0</v>
      </c>
      <c r="F10" s="1">
        <v>1.0</v>
      </c>
      <c r="G10" s="1">
        <v>2.0</v>
      </c>
      <c r="H10" s="1">
        <v>5.0</v>
      </c>
      <c r="I10" s="1">
        <v>7.0</v>
      </c>
      <c r="J10" s="1">
        <v>8.0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</v>
      </c>
      <c r="B11" s="1">
        <v>11.0</v>
      </c>
      <c r="C11" s="1">
        <v>15.0</v>
      </c>
      <c r="D11" s="1">
        <v>33.0</v>
      </c>
      <c r="E11" s="1">
        <v>31.0</v>
      </c>
      <c r="F11" s="1">
        <v>40.0</v>
      </c>
      <c r="G11" s="1">
        <v>60.0</v>
      </c>
      <c r="H11" s="1">
        <v>59.0</v>
      </c>
      <c r="I11" s="1">
        <v>68.0</v>
      </c>
      <c r="J11" s="1">
        <v>80.0</v>
      </c>
      <c r="K11" s="1">
        <v>71.0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</v>
      </c>
      <c r="B12" s="1">
        <v>-8.0</v>
      </c>
      <c r="C12" s="1">
        <v>-17.0</v>
      </c>
      <c r="D12" s="1">
        <v>-4.0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</v>
      </c>
      <c r="B13" s="1">
        <v>1.0</v>
      </c>
      <c r="C13" s="1">
        <v>17.0</v>
      </c>
      <c r="D13" s="1">
        <v>1.0</v>
      </c>
      <c r="E13" s="1">
        <v>86.0</v>
      </c>
      <c r="F13" s="1">
        <v>1.0</v>
      </c>
      <c r="G13" s="1">
        <v>2.0</v>
      </c>
      <c r="H13" s="1">
        <v>2.0</v>
      </c>
      <c r="I13" s="1">
        <v>1.0</v>
      </c>
      <c r="J13" s="1">
        <v>51.0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</v>
      </c>
      <c r="B14" s="1">
        <v>-3.0</v>
      </c>
      <c r="C14" s="1">
        <v>-1.0</v>
      </c>
      <c r="D14" s="1">
        <v>15.0</v>
      </c>
      <c r="E14" s="1">
        <v>5.0</v>
      </c>
      <c r="F14" s="1">
        <v>-9.0</v>
      </c>
      <c r="G14" s="1">
        <v>-32.0</v>
      </c>
      <c r="H14" s="1">
        <v>7.0</v>
      </c>
      <c r="I14" s="1">
        <v>1.0</v>
      </c>
      <c r="J14" s="1">
        <v>-1.0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</v>
      </c>
      <c r="B15" s="1">
        <v>1.0</v>
      </c>
      <c r="C15" s="1">
        <v>-9.0</v>
      </c>
      <c r="D15" s="1">
        <v>1.0</v>
      </c>
      <c r="E15" s="1">
        <v>-8.0</v>
      </c>
      <c r="F15" s="1">
        <v>-12.0</v>
      </c>
      <c r="G15" s="1">
        <v>1.0</v>
      </c>
      <c r="H15" s="1">
        <v>-15.0</v>
      </c>
      <c r="I15" s="1">
        <v>-16.0</v>
      </c>
      <c r="J15" s="1">
        <v>-5.0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</v>
      </c>
      <c r="B16" s="1">
        <v>-65.0</v>
      </c>
      <c r="C16" s="1">
        <v>3.0</v>
      </c>
      <c r="D16" s="1">
        <v>-46.0</v>
      </c>
      <c r="E16" s="1">
        <v>-44.0</v>
      </c>
      <c r="F16" s="1">
        <v>1.0</v>
      </c>
      <c r="G16" s="1">
        <v>-2.0</v>
      </c>
      <c r="H16" s="1">
        <v>-18.0</v>
      </c>
      <c r="I16" s="1">
        <v>1.0</v>
      </c>
      <c r="J16" s="1">
        <v>-3.0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</v>
      </c>
      <c r="B17" s="1">
        <v>4.0</v>
      </c>
      <c r="C17" s="1">
        <v>10.0</v>
      </c>
      <c r="D17" s="1">
        <v>2.0</v>
      </c>
      <c r="E17" s="1">
        <v>1.0</v>
      </c>
      <c r="F17" s="1">
        <v>34.0</v>
      </c>
      <c r="G17" s="1">
        <v>72.0</v>
      </c>
      <c r="H17" s="1">
        <v>-4.0</v>
      </c>
      <c r="I17" s="1">
        <v>-2.0</v>
      </c>
      <c r="J17" s="1">
        <v>-30.0</v>
      </c>
      <c r="K17" s="1">
        <v>72.0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</v>
      </c>
      <c r="B18" s="1">
        <v>18.0</v>
      </c>
      <c r="C18" s="1">
        <v>-8.0</v>
      </c>
      <c r="D18" s="1">
        <v>17.0</v>
      </c>
      <c r="E18" s="1">
        <v>16.0</v>
      </c>
      <c r="F18" s="1">
        <v>11.0</v>
      </c>
      <c r="G18" s="1">
        <v>-7.0</v>
      </c>
      <c r="H18" s="1">
        <v>4.0</v>
      </c>
      <c r="I18" s="1">
        <v>58.0</v>
      </c>
      <c r="J18" s="1">
        <v>-22.0</v>
      </c>
      <c r="K18" s="1">
        <v>-11.0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</v>
      </c>
      <c r="B19" s="1">
        <v>56.0</v>
      </c>
      <c r="C19" s="1">
        <v>24.0</v>
      </c>
      <c r="D19" s="1">
        <v>76.0</v>
      </c>
      <c r="E19" s="1">
        <v>109.0</v>
      </c>
      <c r="F19" s="1">
        <v>117.0</v>
      </c>
      <c r="G19" s="1">
        <v>109.0</v>
      </c>
      <c r="H19" s="1">
        <v>170.0</v>
      </c>
      <c r="I19" s="1">
        <v>251.0</v>
      </c>
      <c r="J19" s="1">
        <v>117.0</v>
      </c>
      <c r="K19" s="1">
        <v>155.0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</v>
      </c>
      <c r="B20" s="1">
        <v>-6.0</v>
      </c>
      <c r="C20" s="1">
        <v>-9.0</v>
      </c>
      <c r="D20" s="1">
        <v>-13.0</v>
      </c>
      <c r="E20" s="1">
        <v>-14.0</v>
      </c>
      <c r="F20" s="1">
        <v>-20.0</v>
      </c>
      <c r="G20" s="1">
        <v>-19.0</v>
      </c>
      <c r="H20" s="1">
        <v>-12.0</v>
      </c>
      <c r="I20" s="1">
        <v>-23.0</v>
      </c>
      <c r="J20" s="1">
        <v>-16.0</v>
      </c>
      <c r="K20" s="1">
        <v>-19.0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</v>
      </c>
      <c r="B21" s="1">
        <v>-59.0</v>
      </c>
      <c r="C21" s="1">
        <v>-328.0</v>
      </c>
      <c r="D21" s="1">
        <v>-33.0</v>
      </c>
      <c r="E21" s="1">
        <v>0.0</v>
      </c>
      <c r="F21" s="1">
        <v>-195.0</v>
      </c>
      <c r="G21" s="1">
        <v>-321.0</v>
      </c>
      <c r="H21" s="1">
        <v>-20.0</v>
      </c>
      <c r="I21" s="1">
        <v>-35.0</v>
      </c>
      <c r="J21" s="1">
        <v>-108.0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</v>
      </c>
      <c r="B22" s="1">
        <v>-3.0</v>
      </c>
      <c r="C22" s="1">
        <v>-5.0</v>
      </c>
      <c r="D22" s="1">
        <v>-8.0</v>
      </c>
      <c r="E22" s="1">
        <v>-12.0</v>
      </c>
      <c r="F22" s="1">
        <v>-24.0</v>
      </c>
      <c r="G22" s="1">
        <v>-34.0</v>
      </c>
      <c r="H22" s="1">
        <v>-54.0</v>
      </c>
      <c r="I22" s="1">
        <v>-90.0</v>
      </c>
      <c r="J22" s="1">
        <v>-104.0</v>
      </c>
      <c r="K22" s="1">
        <v>-111.0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</v>
      </c>
      <c r="B23" s="1">
        <v>0.0</v>
      </c>
      <c r="C23" s="1">
        <v>-1.0</v>
      </c>
      <c r="D23" s="1">
        <v>-2.0</v>
      </c>
      <c r="E23" s="1">
        <v>-1.0</v>
      </c>
      <c r="F23" s="1">
        <v>-1.0</v>
      </c>
      <c r="G23" s="1">
        <v>-5.0</v>
      </c>
      <c r="H23" s="1">
        <v>-15.0</v>
      </c>
      <c r="I23" s="1">
        <v>-25.0</v>
      </c>
      <c r="J23" s="1">
        <v>-16.0</v>
      </c>
      <c r="K23" s="1">
        <v>-4.0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</v>
      </c>
      <c r="B24" s="1">
        <v>0.0</v>
      </c>
      <c r="C24" s="1">
        <v>0.0</v>
      </c>
      <c r="D24" s="1">
        <v>0.0</v>
      </c>
      <c r="E24" s="1">
        <v>0.0</v>
      </c>
      <c r="F24" s="1">
        <v>-1.0</v>
      </c>
      <c r="G24" s="1">
        <v>4.0</v>
      </c>
      <c r="H24" s="1">
        <v>2.0</v>
      </c>
      <c r="I24" s="1">
        <v>0.0</v>
      </c>
      <c r="J24" s="1">
        <v>-6.0</v>
      </c>
      <c r="K24" s="1">
        <v>-19.0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</v>
      </c>
      <c r="B25" s="1">
        <v>-69.0</v>
      </c>
      <c r="C25" s="1">
        <v>-345.0</v>
      </c>
      <c r="D25" s="1">
        <v>-57.0</v>
      </c>
      <c r="E25" s="1">
        <v>-29.0</v>
      </c>
      <c r="F25" s="1">
        <v>-242.0</v>
      </c>
      <c r="G25" s="1">
        <v>-376.0</v>
      </c>
      <c r="H25" s="1">
        <v>-100.0</v>
      </c>
      <c r="I25" s="1">
        <v>-176.0</v>
      </c>
      <c r="J25" s="1">
        <v>-251.0</v>
      </c>
      <c r="K25" s="1">
        <v>-154.0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1">
        <v>30.0</v>
      </c>
      <c r="C26" s="1">
        <v>10.0</v>
      </c>
      <c r="D26" s="1">
        <v>40.0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55.0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</v>
      </c>
      <c r="B27" s="1">
        <v>172.0</v>
      </c>
      <c r="C27" s="1">
        <v>160.0</v>
      </c>
      <c r="D27" s="1">
        <v>0.0</v>
      </c>
      <c r="E27" s="1">
        <v>35.0</v>
      </c>
      <c r="F27" s="1">
        <v>540.0</v>
      </c>
      <c r="G27" s="1">
        <v>345.0</v>
      </c>
      <c r="H27" s="1">
        <v>562.0</v>
      </c>
      <c r="I27" s="1">
        <v>0.0</v>
      </c>
      <c r="J27" s="1">
        <v>575.0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</v>
      </c>
      <c r="B28" s="1">
        <v>202.0</v>
      </c>
      <c r="C28" s="1">
        <v>170.0</v>
      </c>
      <c r="D28" s="1">
        <v>40.0</v>
      </c>
      <c r="E28" s="1">
        <v>35.0</v>
      </c>
      <c r="F28" s="1">
        <v>540.0</v>
      </c>
      <c r="G28" s="1">
        <v>345.0</v>
      </c>
      <c r="H28" s="1">
        <v>562.0</v>
      </c>
      <c r="I28" s="1">
        <v>0.0</v>
      </c>
      <c r="J28" s="1">
        <v>575.0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</v>
      </c>
      <c r="B29" s="1">
        <v>-30.0</v>
      </c>
      <c r="C29" s="1">
        <v>-10.0</v>
      </c>
      <c r="D29" s="1">
        <v>-40.0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-55.0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</v>
      </c>
      <c r="B30" s="1">
        <v>-1.0</v>
      </c>
      <c r="C30" s="1">
        <v>-10.0</v>
      </c>
      <c r="D30" s="1">
        <v>-8.0</v>
      </c>
      <c r="E30" s="1">
        <v>-98.0</v>
      </c>
      <c r="F30" s="1">
        <v>-276.0</v>
      </c>
      <c r="G30" s="1">
        <v>-270.0</v>
      </c>
      <c r="H30" s="1">
        <v>-305.0</v>
      </c>
      <c r="I30" s="1">
        <v>0.0</v>
      </c>
      <c r="J30" s="1">
        <v>-513.0</v>
      </c>
      <c r="K30" s="1">
        <v>-45.0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</v>
      </c>
      <c r="B31" s="1">
        <v>-31.0</v>
      </c>
      <c r="C31" s="1">
        <v>-20.0</v>
      </c>
      <c r="D31" s="1">
        <v>-48.0</v>
      </c>
      <c r="E31" s="1">
        <v>-98.0</v>
      </c>
      <c r="F31" s="1">
        <v>-276.0</v>
      </c>
      <c r="G31" s="1">
        <v>-270.0</v>
      </c>
      <c r="H31" s="1">
        <v>-305.0</v>
      </c>
      <c r="I31" s="1">
        <v>0.0</v>
      </c>
      <c r="J31" s="1">
        <v>-513.0</v>
      </c>
      <c r="K31" s="1">
        <v>-100.0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</v>
      </c>
      <c r="B32" s="1">
        <v>5.0</v>
      </c>
      <c r="C32" s="1">
        <v>8.0</v>
      </c>
      <c r="D32" s="1">
        <v>4.0</v>
      </c>
      <c r="E32" s="1">
        <v>7.0</v>
      </c>
      <c r="F32" s="1">
        <v>128.0</v>
      </c>
      <c r="G32" s="1">
        <v>10.0</v>
      </c>
      <c r="H32" s="1">
        <v>10.0</v>
      </c>
      <c r="I32" s="1">
        <v>2.0</v>
      </c>
      <c r="J32" s="1">
        <v>2.0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1">
        <v>-2.0</v>
      </c>
      <c r="C33" s="1">
        <v>-7.0</v>
      </c>
      <c r="D33" s="1">
        <v>-12.0</v>
      </c>
      <c r="E33" s="1">
        <v>-13.0</v>
      </c>
      <c r="F33" s="1">
        <v>-27.0</v>
      </c>
      <c r="G33" s="1">
        <v>-23.0</v>
      </c>
      <c r="H33" s="1">
        <v>-19.0</v>
      </c>
      <c r="I33" s="1">
        <v>-24.0</v>
      </c>
      <c r="J33" s="1">
        <v>-109.0</v>
      </c>
      <c r="K33" s="1">
        <v>-28.0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</v>
      </c>
      <c r="B34" s="1">
        <v>-1.0</v>
      </c>
      <c r="C34" s="1">
        <v>11.0</v>
      </c>
      <c r="D34" s="1">
        <v>-2.0</v>
      </c>
      <c r="E34" s="1">
        <v>-3.0</v>
      </c>
      <c r="F34" s="1">
        <v>-12.0</v>
      </c>
      <c r="G34" s="1">
        <v>-2.0</v>
      </c>
      <c r="H34" s="1">
        <v>-15.0</v>
      </c>
      <c r="I34" s="1">
        <v>-6.0</v>
      </c>
      <c r="J34" s="1">
        <v>-82.0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1">
        <v>173.0</v>
      </c>
      <c r="C35" s="1">
        <v>162.0</v>
      </c>
      <c r="D35" s="1">
        <v>-18.0</v>
      </c>
      <c r="E35" s="1">
        <v>-72.0</v>
      </c>
      <c r="F35" s="1">
        <v>352.0</v>
      </c>
      <c r="G35" s="1">
        <v>60.0</v>
      </c>
      <c r="H35" s="1">
        <v>233.0</v>
      </c>
      <c r="I35" s="1">
        <v>-29.0</v>
      </c>
      <c r="J35" s="1">
        <v>-127.0</v>
      </c>
      <c r="K35" s="1">
        <v>-72.0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</v>
      </c>
      <c r="B36" s="1">
        <v>0.0</v>
      </c>
      <c r="C36" s="1">
        <v>0.0</v>
      </c>
      <c r="D36" s="1">
        <v>0.0</v>
      </c>
      <c r="E36" s="1">
        <v>37.0</v>
      </c>
      <c r="F36" s="1">
        <v>-59.0</v>
      </c>
      <c r="G36" s="1">
        <v>-39.0</v>
      </c>
      <c r="H36" s="1">
        <v>-83.0</v>
      </c>
      <c r="I36" s="1">
        <v>-55.0</v>
      </c>
      <c r="J36" s="1">
        <v>-6.0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</v>
      </c>
      <c r="B37" s="1">
        <v>160.0</v>
      </c>
      <c r="C37" s="1">
        <v>-158.0</v>
      </c>
      <c r="D37" s="1">
        <v>87.0</v>
      </c>
      <c r="E37" s="1">
        <v>7.0</v>
      </c>
      <c r="F37" s="1">
        <v>227.0</v>
      </c>
      <c r="G37" s="1">
        <v>-207.0</v>
      </c>
      <c r="H37" s="1">
        <v>302.0</v>
      </c>
      <c r="I37" s="1">
        <v>44.0</v>
      </c>
      <c r="J37" s="1">
        <v>-267.0</v>
      </c>
      <c r="K37" s="1">
        <v>-70.0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</v>
      </c>
      <c r="B39" s="1">
        <v>29.0</v>
      </c>
      <c r="C39" s="1">
        <v>3.0</v>
      </c>
      <c r="D39" s="1">
        <v>8.0</v>
      </c>
      <c r="E39" s="1">
        <v>7.0</v>
      </c>
      <c r="F39" s="1">
        <v>10.0</v>
      </c>
      <c r="G39" s="1">
        <v>13.0</v>
      </c>
      <c r="H39" s="1">
        <v>12.0</v>
      </c>
      <c r="I39" s="1">
        <v>11.0</v>
      </c>
      <c r="J39" s="1">
        <v>11.0</v>
      </c>
      <c r="K39" s="1">
        <v>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</v>
      </c>
      <c r="B40" s="1">
        <v>2.0</v>
      </c>
      <c r="C40" s="1">
        <v>1.0</v>
      </c>
      <c r="D40" s="1">
        <v>1.0</v>
      </c>
      <c r="E40" s="1">
        <v>3.0</v>
      </c>
      <c r="F40" s="1">
        <v>5.0</v>
      </c>
      <c r="G40" s="1">
        <v>8.0</v>
      </c>
      <c r="H40" s="1">
        <v>8.0</v>
      </c>
      <c r="I40" s="1">
        <v>7.0</v>
      </c>
      <c r="J40" s="1">
        <v>12.0</v>
      </c>
      <c r="K40" s="1">
        <v>15.0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</v>
      </c>
      <c r="B41" s="1">
        <v>42.0</v>
      </c>
      <c r="C41" s="1">
        <v>50.0</v>
      </c>
      <c r="D41" s="1">
        <v>59.0</v>
      </c>
      <c r="E41" s="1">
        <v>80.0</v>
      </c>
      <c r="F41" s="1">
        <v>85.0</v>
      </c>
      <c r="G41" s="1">
        <v>88.0</v>
      </c>
      <c r="H41" s="1">
        <v>117.0</v>
      </c>
      <c r="I41" s="1">
        <v>135.0</v>
      </c>
      <c r="J41" s="1">
        <v>76.0</v>
      </c>
      <c r="K41" s="1">
        <v>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</v>
      </c>
      <c r="B42" s="1">
        <v>43.0</v>
      </c>
      <c r="C42" s="1">
        <v>56.0</v>
      </c>
      <c r="D42" s="1">
        <v>69.0</v>
      </c>
      <c r="E42" s="1">
        <v>90.0</v>
      </c>
      <c r="F42" s="1">
        <v>101.0</v>
      </c>
      <c r="G42" s="1">
        <v>109.0</v>
      </c>
      <c r="H42" s="1">
        <v>136.0</v>
      </c>
      <c r="I42" s="1">
        <v>145.0</v>
      </c>
      <c r="J42" s="1">
        <v>86.0</v>
      </c>
      <c r="K42" s="1">
        <v>84.0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</v>
      </c>
      <c r="B43" s="1">
        <v>-8.0</v>
      </c>
      <c r="C43" s="1">
        <v>-12.0</v>
      </c>
      <c r="D43" s="1">
        <v>-5.0</v>
      </c>
      <c r="E43" s="1">
        <v>-11.0</v>
      </c>
      <c r="F43" s="1">
        <v>-16.0</v>
      </c>
      <c r="G43" s="1">
        <v>-3.0</v>
      </c>
      <c r="H43" s="1">
        <v>-12.0</v>
      </c>
      <c r="I43" s="1">
        <v>-37.0</v>
      </c>
      <c r="J43" s="1">
        <v>12.0</v>
      </c>
      <c r="K43" s="1">
        <v>13.0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</v>
      </c>
      <c r="B44" s="1">
        <v>171.0</v>
      </c>
      <c r="C44" s="1">
        <v>150.0</v>
      </c>
      <c r="D44" s="1">
        <v>-8.0</v>
      </c>
      <c r="E44" s="1">
        <v>-63.0</v>
      </c>
      <c r="F44" s="1">
        <v>264.0</v>
      </c>
      <c r="G44" s="1">
        <v>75.0</v>
      </c>
      <c r="H44" s="1">
        <v>258.0</v>
      </c>
      <c r="I44" s="1">
        <v>0.0</v>
      </c>
      <c r="J44" s="1">
        <v>62.0</v>
      </c>
      <c r="K44" s="1">
        <v>-45.0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7.57"/>
    <col customWidth="1" min="2" max="11" width="8.71"/>
  </cols>
  <sheetData>
    <row r="1">
      <c r="A1" s="1" t="s">
        <v>10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210.0</v>
      </c>
      <c r="C3" s="1">
        <v>51.0</v>
      </c>
      <c r="D3" s="1">
        <v>52.0</v>
      </c>
      <c r="E3" s="1">
        <v>60.0</v>
      </c>
      <c r="F3" s="1">
        <v>289.0</v>
      </c>
      <c r="G3" s="1">
        <v>82.0</v>
      </c>
      <c r="H3" s="1">
        <v>385.0</v>
      </c>
      <c r="I3" s="1">
        <v>429.0</v>
      </c>
      <c r="J3" s="1">
        <v>162.0</v>
      </c>
      <c r="K3" s="1">
        <v>91.0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210.0</v>
      </c>
      <c r="C4" s="1">
        <v>51.0</v>
      </c>
      <c r="D4" s="1">
        <v>52.0</v>
      </c>
      <c r="E4" s="1">
        <v>60.0</v>
      </c>
      <c r="F4" s="1">
        <v>289.0</v>
      </c>
      <c r="G4" s="1">
        <v>82.0</v>
      </c>
      <c r="H4" s="1">
        <v>385.0</v>
      </c>
      <c r="I4" s="1">
        <v>429.0</v>
      </c>
      <c r="J4" s="1">
        <v>162.0</v>
      </c>
      <c r="K4" s="1">
        <v>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20.0</v>
      </c>
      <c r="C5" s="1">
        <v>46.0</v>
      </c>
      <c r="D5" s="1">
        <v>44.0</v>
      </c>
      <c r="E5" s="1">
        <v>51.0</v>
      </c>
      <c r="F5" s="1">
        <v>68.0</v>
      </c>
      <c r="G5" s="1">
        <v>67.0</v>
      </c>
      <c r="H5" s="1">
        <v>80.0</v>
      </c>
      <c r="I5" s="1">
        <v>95.0</v>
      </c>
      <c r="J5" s="1">
        <v>102.0</v>
      </c>
      <c r="K5" s="1">
        <v>121.0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0.0</v>
      </c>
      <c r="D6" s="1">
        <v>5.0</v>
      </c>
      <c r="E6" s="1">
        <v>4.0</v>
      </c>
      <c r="F6" s="1">
        <v>5.0</v>
      </c>
      <c r="G6" s="1">
        <v>5.0</v>
      </c>
      <c r="H6" s="1">
        <v>8.0</v>
      </c>
      <c r="I6" s="1">
        <v>9.0</v>
      </c>
      <c r="J6" s="1">
        <v>5.0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20.0</v>
      </c>
      <c r="C7" s="1">
        <v>46.0</v>
      </c>
      <c r="D7" s="1">
        <v>50.0</v>
      </c>
      <c r="E7" s="1">
        <v>55.0</v>
      </c>
      <c r="F7" s="1">
        <v>73.0</v>
      </c>
      <c r="G7" s="1">
        <v>73.0</v>
      </c>
      <c r="H7" s="1">
        <v>88.0</v>
      </c>
      <c r="I7" s="1">
        <v>105.0</v>
      </c>
      <c r="J7" s="1">
        <v>107.0</v>
      </c>
      <c r="K7" s="1">
        <v>125.0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7.0</v>
      </c>
      <c r="C8" s="1">
        <v>15.0</v>
      </c>
      <c r="D8" s="1">
        <v>1.0</v>
      </c>
      <c r="E8" s="1">
        <v>1.0</v>
      </c>
      <c r="F8" s="1">
        <v>1.0</v>
      </c>
      <c r="G8" s="1">
        <v>4.0</v>
      </c>
      <c r="H8" s="1">
        <v>1.0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4.0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0.0</v>
      </c>
      <c r="F10" s="1">
        <v>15.0</v>
      </c>
      <c r="G10" s="1">
        <v>8.0</v>
      </c>
      <c r="H10" s="1">
        <v>0.0</v>
      </c>
      <c r="I10" s="1">
        <v>14.0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0.0</v>
      </c>
      <c r="D11" s="1">
        <v>9.0</v>
      </c>
      <c r="E11" s="1">
        <v>13.0</v>
      </c>
      <c r="F11" s="1">
        <v>16.0</v>
      </c>
      <c r="G11" s="1">
        <v>22.0</v>
      </c>
      <c r="H11" s="1">
        <v>30.0</v>
      </c>
      <c r="I11" s="1">
        <v>30.0</v>
      </c>
      <c r="J11" s="1">
        <v>32.0</v>
      </c>
      <c r="K11" s="1">
        <v>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242.0</v>
      </c>
      <c r="C12" s="1">
        <v>114.0</v>
      </c>
      <c r="D12" s="1">
        <v>113.0</v>
      </c>
      <c r="E12" s="1">
        <v>131.0</v>
      </c>
      <c r="F12" s="1">
        <v>381.0</v>
      </c>
      <c r="G12" s="1">
        <v>183.0</v>
      </c>
      <c r="H12" s="1">
        <v>505.0</v>
      </c>
      <c r="I12" s="1">
        <v>567.0</v>
      </c>
      <c r="J12" s="1">
        <v>305.0</v>
      </c>
      <c r="K12" s="1">
        <v>264.0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34.0</v>
      </c>
      <c r="C13" s="1">
        <v>66.0</v>
      </c>
      <c r="D13" s="1">
        <v>78.0</v>
      </c>
      <c r="E13" s="1">
        <v>89.0</v>
      </c>
      <c r="F13" s="1">
        <v>107.0</v>
      </c>
      <c r="G13" s="1">
        <v>211.0</v>
      </c>
      <c r="H13" s="1">
        <v>237.0</v>
      </c>
      <c r="I13" s="1">
        <v>231.0</v>
      </c>
      <c r="J13" s="1">
        <v>230.0</v>
      </c>
      <c r="K13" s="1">
        <v>199.0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-17.0</v>
      </c>
      <c r="C14" s="1">
        <v>-37.0</v>
      </c>
      <c r="D14" s="1">
        <v>-45.0</v>
      </c>
      <c r="E14" s="1">
        <v>-53.0</v>
      </c>
      <c r="F14" s="1">
        <v>-62.0</v>
      </c>
      <c r="G14" s="1">
        <v>-74.0</v>
      </c>
      <c r="H14" s="1">
        <v>-84.0</v>
      </c>
      <c r="I14" s="1">
        <v>-90.0</v>
      </c>
      <c r="J14" s="1">
        <v>-85.0</v>
      </c>
      <c r="K14" s="1">
        <v>-82.0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16.0</v>
      </c>
      <c r="C15" s="1">
        <v>28.0</v>
      </c>
      <c r="D15" s="1">
        <v>33.0</v>
      </c>
      <c r="E15" s="1">
        <v>35.0</v>
      </c>
      <c r="F15" s="1">
        <v>44.0</v>
      </c>
      <c r="G15" s="1">
        <v>137.0</v>
      </c>
      <c r="H15" s="1">
        <v>153.0</v>
      </c>
      <c r="I15" s="1">
        <v>141.0</v>
      </c>
      <c r="J15" s="1">
        <v>144.0</v>
      </c>
      <c r="K15" s="1">
        <v>117.0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1.0</v>
      </c>
      <c r="C16" s="1">
        <v>2.0</v>
      </c>
      <c r="D16" s="1">
        <v>2.0</v>
      </c>
      <c r="E16" s="1">
        <v>2.0</v>
      </c>
      <c r="F16" s="1">
        <v>2.0</v>
      </c>
      <c r="G16" s="1">
        <v>0.0</v>
      </c>
      <c r="H16" s="1">
        <v>15.0</v>
      </c>
      <c r="I16" s="1">
        <v>37.0</v>
      </c>
      <c r="J16" s="1">
        <v>59.0</v>
      </c>
      <c r="K16" s="1">
        <v>56.0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105.0</v>
      </c>
      <c r="C17" s="1">
        <v>421.0</v>
      </c>
      <c r="D17" s="1">
        <v>432.0</v>
      </c>
      <c r="E17" s="1">
        <v>433.0</v>
      </c>
      <c r="F17" s="1">
        <v>519.0</v>
      </c>
      <c r="G17" s="1">
        <v>880.0</v>
      </c>
      <c r="H17" s="1">
        <v>907.0</v>
      </c>
      <c r="I17" s="1">
        <v>925.0</v>
      </c>
      <c r="J17" s="1">
        <v>998.0</v>
      </c>
      <c r="K17" s="1">
        <v>807.0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65.0</v>
      </c>
      <c r="C18" s="1">
        <v>303.0</v>
      </c>
      <c r="D18" s="1">
        <v>280.0</v>
      </c>
      <c r="E18" s="1">
        <v>245.0</v>
      </c>
      <c r="F18" s="1">
        <v>343.0</v>
      </c>
      <c r="G18" s="1">
        <v>566.0</v>
      </c>
      <c r="H18" s="1">
        <v>532.0</v>
      </c>
      <c r="I18" s="1">
        <v>534.0</v>
      </c>
      <c r="J18" s="1">
        <v>565.0</v>
      </c>
      <c r="K18" s="1">
        <v>563.0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56.0</v>
      </c>
      <c r="C19" s="1">
        <v>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4.0</v>
      </c>
      <c r="C20" s="1">
        <v>7.0</v>
      </c>
      <c r="D20" s="1">
        <v>0.0</v>
      </c>
      <c r="E20" s="1">
        <v>3.0</v>
      </c>
      <c r="F20" s="1">
        <v>9.0</v>
      </c>
      <c r="G20" s="1">
        <v>12.0</v>
      </c>
      <c r="H20" s="1">
        <v>13.0</v>
      </c>
      <c r="I20" s="1">
        <v>11.0</v>
      </c>
      <c r="J20" s="1">
        <v>15.0</v>
      </c>
      <c r="K20" s="1">
        <v>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3.0</v>
      </c>
      <c r="C21" s="1">
        <v>6.0</v>
      </c>
      <c r="D21" s="1">
        <v>11.0</v>
      </c>
      <c r="E21" s="1">
        <v>11.0</v>
      </c>
      <c r="F21" s="1">
        <v>13.0</v>
      </c>
      <c r="G21" s="1">
        <v>24.0</v>
      </c>
      <c r="H21" s="1">
        <v>19.0</v>
      </c>
      <c r="I21" s="1">
        <v>24.0</v>
      </c>
      <c r="J21" s="1">
        <v>25.0</v>
      </c>
      <c r="K21" s="1">
        <v>57.0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439.0</v>
      </c>
      <c r="C22" s="1">
        <v>886.0</v>
      </c>
      <c r="D22" s="1">
        <v>872.0</v>
      </c>
      <c r="E22" s="1">
        <v>862.0</v>
      </c>
      <c r="F22" s="1">
        <v>1310.0</v>
      </c>
      <c r="G22" s="1">
        <v>1800.0</v>
      </c>
      <c r="H22" s="1">
        <v>2140.0</v>
      </c>
      <c r="I22" s="1">
        <v>2240.0</v>
      </c>
      <c r="J22" s="1">
        <v>2110.0</v>
      </c>
      <c r="K22" s="1">
        <v>1880.0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4.0</v>
      </c>
      <c r="C24" s="1">
        <v>10.0</v>
      </c>
      <c r="D24" s="1">
        <v>11.0</v>
      </c>
      <c r="E24" s="1">
        <v>11.0</v>
      </c>
      <c r="F24" s="1">
        <v>19.0</v>
      </c>
      <c r="G24" s="1">
        <v>17.0</v>
      </c>
      <c r="H24" s="1">
        <v>18.0</v>
      </c>
      <c r="I24" s="1">
        <v>19.0</v>
      </c>
      <c r="J24" s="1">
        <v>17.0</v>
      </c>
      <c r="K24" s="1">
        <v>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48.0</v>
      </c>
      <c r="C25" s="1">
        <v>69.0</v>
      </c>
      <c r="D25" s="1">
        <v>86.0</v>
      </c>
      <c r="E25" s="1">
        <v>105.0</v>
      </c>
      <c r="F25" s="1">
        <v>133.0</v>
      </c>
      <c r="G25" s="1">
        <v>133.0</v>
      </c>
      <c r="H25" s="1">
        <v>159.0</v>
      </c>
      <c r="I25" s="1">
        <v>224.0</v>
      </c>
      <c r="J25" s="1">
        <v>207.0</v>
      </c>
      <c r="K25" s="1">
        <v>206.0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37.0</v>
      </c>
      <c r="E26" s="1">
        <v>0.0</v>
      </c>
      <c r="F26" s="1">
        <v>166.0</v>
      </c>
      <c r="G26" s="1">
        <v>0.0</v>
      </c>
      <c r="H26" s="1">
        <v>0.0</v>
      </c>
      <c r="I26" s="1">
        <v>0.0</v>
      </c>
      <c r="J26" s="1">
        <v>44.0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19.0</v>
      </c>
      <c r="E27" s="1">
        <v>0.0</v>
      </c>
      <c r="F27" s="1">
        <v>0.0</v>
      </c>
      <c r="G27" s="1">
        <v>13.0</v>
      </c>
      <c r="H27" s="1">
        <v>13.0</v>
      </c>
      <c r="I27" s="1">
        <v>11.0</v>
      </c>
      <c r="J27" s="1">
        <v>11.0</v>
      </c>
      <c r="K27" s="1">
        <v>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5.0</v>
      </c>
      <c r="C28" s="1">
        <v>15.0</v>
      </c>
      <c r="D28" s="1">
        <v>16.0</v>
      </c>
      <c r="E28" s="1">
        <v>21.0</v>
      </c>
      <c r="F28" s="1">
        <v>23.0</v>
      </c>
      <c r="G28" s="1">
        <v>34.0</v>
      </c>
      <c r="H28" s="1">
        <v>34.0</v>
      </c>
      <c r="I28" s="1">
        <v>33.0</v>
      </c>
      <c r="J28" s="1">
        <v>36.0</v>
      </c>
      <c r="K28" s="1">
        <v>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6.0</v>
      </c>
      <c r="C29" s="1">
        <v>16.0</v>
      </c>
      <c r="D29" s="1">
        <v>3.0</v>
      </c>
      <c r="E29" s="1">
        <v>3.0</v>
      </c>
      <c r="F29" s="1">
        <v>73.0</v>
      </c>
      <c r="G29" s="1">
        <v>5.0</v>
      </c>
      <c r="H29" s="1">
        <v>11.0</v>
      </c>
      <c r="I29" s="1">
        <v>74.0</v>
      </c>
      <c r="J29" s="1">
        <v>9.0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64.0</v>
      </c>
      <c r="C30" s="1">
        <v>111.0</v>
      </c>
      <c r="D30" s="1">
        <v>156.0</v>
      </c>
      <c r="E30" s="1">
        <v>140.0</v>
      </c>
      <c r="F30" s="1">
        <v>343.0</v>
      </c>
      <c r="G30" s="1">
        <v>204.0</v>
      </c>
      <c r="H30" s="1">
        <v>236.0</v>
      </c>
      <c r="I30" s="1">
        <v>289.0</v>
      </c>
      <c r="J30" s="1">
        <v>327.0</v>
      </c>
      <c r="K30" s="1">
        <v>293.0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145.0</v>
      </c>
      <c r="C31" s="1">
        <v>300.0</v>
      </c>
      <c r="D31" s="1">
        <v>253.0</v>
      </c>
      <c r="E31" s="1">
        <v>240.0</v>
      </c>
      <c r="F31" s="1">
        <v>295.0</v>
      </c>
      <c r="G31" s="1">
        <v>566.0</v>
      </c>
      <c r="H31" s="1">
        <v>757.0</v>
      </c>
      <c r="I31" s="1">
        <v>849.0</v>
      </c>
      <c r="J31" s="1">
        <v>872.0</v>
      </c>
      <c r="K31" s="1">
        <v>877.0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88.0</v>
      </c>
      <c r="H32" s="1">
        <v>112.0</v>
      </c>
      <c r="I32" s="1">
        <v>106.0</v>
      </c>
      <c r="J32" s="1">
        <v>111.0</v>
      </c>
      <c r="K32" s="1">
        <v>101.0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6.0</v>
      </c>
      <c r="C33" s="1">
        <v>14.0</v>
      </c>
      <c r="D33" s="1">
        <v>15.0</v>
      </c>
      <c r="E33" s="1">
        <v>12.0</v>
      </c>
      <c r="F33" s="1">
        <v>6.0</v>
      </c>
      <c r="G33" s="1">
        <v>5.0</v>
      </c>
      <c r="H33" s="1">
        <v>1.0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1.0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0.0</v>
      </c>
      <c r="D35" s="1">
        <v>5.0</v>
      </c>
      <c r="E35" s="1">
        <v>96.0</v>
      </c>
      <c r="F35" s="1">
        <v>64.0</v>
      </c>
      <c r="G35" s="1">
        <v>29.0</v>
      </c>
      <c r="H35" s="1">
        <v>34.0</v>
      </c>
      <c r="I35" s="1">
        <v>21.0</v>
      </c>
      <c r="J35" s="1">
        <v>16.0</v>
      </c>
      <c r="K35" s="1">
        <v>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20.0</v>
      </c>
      <c r="C36" s="1">
        <v>19.0</v>
      </c>
      <c r="D36" s="1">
        <v>28.0</v>
      </c>
      <c r="E36" s="1">
        <v>31.0</v>
      </c>
      <c r="F36" s="1">
        <v>35.0</v>
      </c>
      <c r="G36" s="1">
        <v>41.0</v>
      </c>
      <c r="H36" s="1">
        <v>25.0</v>
      </c>
      <c r="I36" s="1">
        <v>17.0</v>
      </c>
      <c r="J36" s="1">
        <v>18.0</v>
      </c>
      <c r="K36" s="1">
        <v>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237.0</v>
      </c>
      <c r="C37" s="1">
        <v>446.0</v>
      </c>
      <c r="D37" s="1">
        <v>459.0</v>
      </c>
      <c r="E37" s="1">
        <v>425.0</v>
      </c>
      <c r="F37" s="1">
        <v>681.0</v>
      </c>
      <c r="G37" s="1">
        <v>934.0</v>
      </c>
      <c r="H37" s="1">
        <v>1170.0</v>
      </c>
      <c r="I37" s="1">
        <v>1280.0</v>
      </c>
      <c r="J37" s="1">
        <v>1340.0</v>
      </c>
      <c r="K37" s="1">
        <v>1300.0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23.0</v>
      </c>
      <c r="C38" s="1">
        <v>27.0</v>
      </c>
      <c r="D38" s="1">
        <v>27.0</v>
      </c>
      <c r="E38" s="1">
        <v>28.0</v>
      </c>
      <c r="F38" s="1">
        <v>30.0</v>
      </c>
      <c r="G38" s="1">
        <v>33.0</v>
      </c>
      <c r="H38" s="1">
        <v>33.0</v>
      </c>
      <c r="I38" s="1">
        <v>34.0</v>
      </c>
      <c r="J38" s="1">
        <v>35.0</v>
      </c>
      <c r="K38" s="1">
        <v>35.0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234.0</v>
      </c>
      <c r="C39" s="1">
        <v>475.0</v>
      </c>
      <c r="D39" s="1">
        <v>517.0</v>
      </c>
      <c r="E39" s="1">
        <v>556.0</v>
      </c>
      <c r="F39" s="1">
        <v>761.0</v>
      </c>
      <c r="G39" s="1">
        <v>1040.0</v>
      </c>
      <c r="H39" s="1">
        <v>1170.0</v>
      </c>
      <c r="I39" s="1">
        <v>1130.0</v>
      </c>
      <c r="J39" s="1">
        <v>1140.0</v>
      </c>
      <c r="K39" s="1">
        <v>1210.0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-19.0</v>
      </c>
      <c r="C40" s="1">
        <v>-15.0</v>
      </c>
      <c r="D40" s="1">
        <v>-70.0</v>
      </c>
      <c r="E40" s="1">
        <v>-73.0</v>
      </c>
      <c r="F40" s="1">
        <v>-58.0</v>
      </c>
      <c r="G40" s="1">
        <v>-75.0</v>
      </c>
      <c r="H40" s="1">
        <v>-79.0</v>
      </c>
      <c r="I40" s="1">
        <v>-37.0</v>
      </c>
      <c r="J40" s="1">
        <v>-119.0</v>
      </c>
      <c r="K40" s="1">
        <v>-358.0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-13.0</v>
      </c>
      <c r="C41" s="1">
        <v>-20.0</v>
      </c>
      <c r="D41" s="1">
        <v>-33.0</v>
      </c>
      <c r="E41" s="1">
        <v>-47.0</v>
      </c>
      <c r="F41" s="1">
        <v>-67.0</v>
      </c>
      <c r="G41" s="1">
        <v>-90.0</v>
      </c>
      <c r="H41" s="1">
        <v>-110.0</v>
      </c>
      <c r="I41" s="1">
        <v>-135.0</v>
      </c>
      <c r="J41" s="1">
        <v>-254.0</v>
      </c>
      <c r="K41" s="1">
        <v>-273.0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0.0</v>
      </c>
      <c r="C42" s="1">
        <v>19.0</v>
      </c>
      <c r="D42" s="1">
        <v>-42.0</v>
      </c>
      <c r="E42" s="1">
        <v>62.0</v>
      </c>
      <c r="F42" s="1">
        <v>-99.0</v>
      </c>
      <c r="G42" s="1">
        <v>-1.0</v>
      </c>
      <c r="H42" s="1">
        <v>-39.0</v>
      </c>
      <c r="I42" s="1">
        <v>-1.0</v>
      </c>
      <c r="J42" s="1">
        <v>-8.0</v>
      </c>
      <c r="K42" s="1">
        <v>-8.0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201.0</v>
      </c>
      <c r="C43" s="1">
        <v>440.0</v>
      </c>
      <c r="D43" s="1">
        <v>413.0</v>
      </c>
      <c r="E43" s="1">
        <v>436.0</v>
      </c>
      <c r="F43" s="1">
        <v>634.0</v>
      </c>
      <c r="G43" s="1">
        <v>869.0</v>
      </c>
      <c r="H43" s="1">
        <v>976.0</v>
      </c>
      <c r="I43" s="1">
        <v>957.0</v>
      </c>
      <c r="J43" s="1">
        <v>755.0</v>
      </c>
      <c r="K43" s="1">
        <v>568.0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55.0</v>
      </c>
      <c r="C44" s="1">
        <v>39.0</v>
      </c>
      <c r="D44" s="1">
        <v>39.0</v>
      </c>
      <c r="E44" s="1">
        <v>39.0</v>
      </c>
      <c r="F44" s="1">
        <v>-1.0</v>
      </c>
      <c r="G44" s="1">
        <v>-1.0</v>
      </c>
      <c r="H44" s="1">
        <v>-51.0</v>
      </c>
      <c r="I44" s="1">
        <v>2.0</v>
      </c>
      <c r="J44" s="1">
        <v>13.0</v>
      </c>
      <c r="K44" s="1">
        <v>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202.0</v>
      </c>
      <c r="C45" s="1">
        <v>440.0</v>
      </c>
      <c r="D45" s="1">
        <v>413.0</v>
      </c>
      <c r="E45" s="1">
        <v>437.0</v>
      </c>
      <c r="F45" s="1">
        <v>633.0</v>
      </c>
      <c r="G45" s="1">
        <v>868.0</v>
      </c>
      <c r="H45" s="1">
        <v>976.0</v>
      </c>
      <c r="I45" s="1">
        <v>960.0</v>
      </c>
      <c r="J45" s="1">
        <v>768.0</v>
      </c>
      <c r="K45" s="1">
        <v>575.0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439.0</v>
      </c>
      <c r="C46" s="1">
        <v>886.0</v>
      </c>
      <c r="D46" s="1">
        <v>872.0</v>
      </c>
      <c r="E46" s="1">
        <v>862.0</v>
      </c>
      <c r="F46" s="1">
        <v>1310.0</v>
      </c>
      <c r="G46" s="1">
        <v>1800.0</v>
      </c>
      <c r="H46" s="1">
        <v>2140.0</v>
      </c>
      <c r="I46" s="1">
        <v>2240.0</v>
      </c>
      <c r="J46" s="1">
        <v>2110.0</v>
      </c>
      <c r="K46" s="1">
        <v>1880.0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>
        <v>34.0</v>
      </c>
      <c r="C48" s="1">
        <v>42.0</v>
      </c>
      <c r="D48" s="1">
        <v>43.0</v>
      </c>
      <c r="E48" s="1">
        <v>44.0</v>
      </c>
      <c r="F48" s="1">
        <v>48.0</v>
      </c>
      <c r="G48" s="1">
        <v>52.0</v>
      </c>
      <c r="H48" s="1">
        <v>54.0</v>
      </c>
      <c r="I48" s="1">
        <v>54.0</v>
      </c>
      <c r="J48" s="1">
        <v>54.0</v>
      </c>
      <c r="K48" s="1">
        <v>54.0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100</v>
      </c>
      <c r="B49" s="1">
        <v>34.0</v>
      </c>
      <c r="C49" s="1">
        <v>41.0</v>
      </c>
      <c r="D49" s="1">
        <v>43.0</v>
      </c>
      <c r="E49" s="1">
        <v>44.0</v>
      </c>
      <c r="F49" s="1">
        <v>48.0</v>
      </c>
      <c r="G49" s="1">
        <v>52.0</v>
      </c>
      <c r="H49" s="1">
        <v>54.0</v>
      </c>
      <c r="I49" s="1">
        <v>54.0</v>
      </c>
      <c r="J49" s="1">
        <v>54.0</v>
      </c>
      <c r="K49" s="1">
        <v>54.0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101</v>
      </c>
      <c r="B50" s="1" t="s">
        <v>102</v>
      </c>
      <c r="C50" s="1" t="s">
        <v>103</v>
      </c>
      <c r="D50" s="1" t="s">
        <v>104</v>
      </c>
      <c r="E50" s="1" t="s">
        <v>105</v>
      </c>
      <c r="F50" s="1" t="s">
        <v>106</v>
      </c>
      <c r="G50" s="1" t="s">
        <v>107</v>
      </c>
      <c r="H50" s="1" t="s">
        <v>108</v>
      </c>
      <c r="I50" s="1" t="s">
        <v>109</v>
      </c>
      <c r="J50" s="1" t="s">
        <v>110</v>
      </c>
      <c r="K50" s="1" t="s">
        <v>111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30.0</v>
      </c>
      <c r="C51" s="1">
        <v>-284.0</v>
      </c>
      <c r="D51" s="1">
        <v>-299.0</v>
      </c>
      <c r="E51" s="1">
        <v>-242.0</v>
      </c>
      <c r="F51" s="1">
        <v>-229.0</v>
      </c>
      <c r="G51" s="1">
        <v>-577.0</v>
      </c>
      <c r="H51" s="1">
        <v>-462.0</v>
      </c>
      <c r="I51" s="1">
        <v>-502.0</v>
      </c>
      <c r="J51" s="1">
        <v>-808.0</v>
      </c>
      <c r="K51" s="1">
        <v>-801.0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 t="s">
        <v>114</v>
      </c>
      <c r="C52" s="1" t="s">
        <v>115</v>
      </c>
      <c r="D52" s="1" t="s">
        <v>116</v>
      </c>
      <c r="E52" s="1" t="s">
        <v>117</v>
      </c>
      <c r="F52" s="1" t="s">
        <v>118</v>
      </c>
      <c r="G52" s="1" t="s">
        <v>119</v>
      </c>
      <c r="H52" s="1" t="s">
        <v>120</v>
      </c>
      <c r="I52" s="1" t="s">
        <v>121</v>
      </c>
      <c r="J52" s="1" t="s">
        <v>122</v>
      </c>
      <c r="K52" s="1" t="s">
        <v>123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145.0</v>
      </c>
      <c r="C53" s="1">
        <v>300.0</v>
      </c>
      <c r="D53" s="1">
        <v>291.0</v>
      </c>
      <c r="E53" s="1">
        <v>240.0</v>
      </c>
      <c r="F53" s="1">
        <v>460.0</v>
      </c>
      <c r="G53" s="1">
        <v>668.0</v>
      </c>
      <c r="H53" s="1">
        <v>882.0</v>
      </c>
      <c r="I53" s="1">
        <v>966.0</v>
      </c>
      <c r="J53" s="1">
        <v>1040.0</v>
      </c>
      <c r="K53" s="1">
        <v>990.0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-64.0</v>
      </c>
      <c r="C54" s="1">
        <v>248.0</v>
      </c>
      <c r="D54" s="1">
        <v>239.0</v>
      </c>
      <c r="E54" s="1">
        <v>180.0</v>
      </c>
      <c r="F54" s="1">
        <v>171.0</v>
      </c>
      <c r="G54" s="1">
        <v>585.0</v>
      </c>
      <c r="H54" s="1">
        <v>498.0</v>
      </c>
      <c r="I54" s="1">
        <v>537.0</v>
      </c>
      <c r="J54" s="1">
        <v>877.0</v>
      </c>
      <c r="K54" s="1">
        <v>899.0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59.0</v>
      </c>
      <c r="C55" s="1">
        <v>71.0</v>
      </c>
      <c r="D55" s="1">
        <v>120.0</v>
      </c>
      <c r="E55" s="1">
        <v>145.0</v>
      </c>
      <c r="F55" s="1">
        <v>157.0</v>
      </c>
      <c r="G55" s="1">
        <v>179.0</v>
      </c>
      <c r="H55" s="1">
        <v>178.0</v>
      </c>
      <c r="I55" s="1">
        <v>188.0</v>
      </c>
      <c r="J55" s="1">
        <v>221.0</v>
      </c>
      <c r="K55" s="1">
        <v>270.0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55.0</v>
      </c>
      <c r="C56" s="1">
        <v>39.0</v>
      </c>
      <c r="D56" s="1">
        <v>39.0</v>
      </c>
      <c r="E56" s="1">
        <v>39.0</v>
      </c>
      <c r="F56" s="1">
        <v>-1.0</v>
      </c>
      <c r="G56" s="1">
        <v>-1.0</v>
      </c>
      <c r="H56" s="1">
        <v>-51.0</v>
      </c>
      <c r="I56" s="1">
        <v>2.0</v>
      </c>
      <c r="J56" s="1">
        <v>13.0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15.0</v>
      </c>
      <c r="I57" s="1">
        <v>18.0</v>
      </c>
      <c r="J57" s="1">
        <v>37.0</v>
      </c>
      <c r="K57" s="1">
        <v>33.0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94.0</v>
      </c>
      <c r="H59" s="1">
        <v>94.0</v>
      </c>
      <c r="I59" s="1">
        <v>94.0</v>
      </c>
      <c r="J59" s="1">
        <v>94.0</v>
      </c>
      <c r="K59" s="1">
        <v>94.0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131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2.0</v>
      </c>
      <c r="H60" s="1">
        <v>2.0</v>
      </c>
      <c r="I60" s="1">
        <v>2.0</v>
      </c>
      <c r="J60" s="1">
        <v>2.0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132</v>
      </c>
      <c r="B61" s="1">
        <v>23.0</v>
      </c>
      <c r="C61" s="1">
        <v>50.0</v>
      </c>
      <c r="D61" s="1">
        <v>61.0</v>
      </c>
      <c r="E61" s="1">
        <v>66.0</v>
      </c>
      <c r="F61" s="1">
        <v>79.0</v>
      </c>
      <c r="G61" s="1">
        <v>89.0</v>
      </c>
      <c r="H61" s="1">
        <v>90.0</v>
      </c>
      <c r="I61" s="1">
        <v>93.0</v>
      </c>
      <c r="J61" s="1">
        <v>89.0</v>
      </c>
      <c r="K61" s="1">
        <v>88.0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133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134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31.0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135</v>
      </c>
      <c r="B64" s="1">
        <v>7.0</v>
      </c>
      <c r="C64" s="1">
        <v>22.0</v>
      </c>
      <c r="D64" s="1">
        <v>24.0</v>
      </c>
      <c r="E64" s="1">
        <v>40.0</v>
      </c>
      <c r="F64" s="1">
        <v>82.0</v>
      </c>
      <c r="G64" s="1">
        <v>1.0</v>
      </c>
      <c r="H64" s="1">
        <v>2.0</v>
      </c>
      <c r="I64" s="1">
        <v>3.0</v>
      </c>
      <c r="J64" s="1">
        <v>2.0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3.86"/>
    <col customWidth="1" min="2" max="11" width="8.71"/>
  </cols>
  <sheetData>
    <row r="1">
      <c r="A1" s="1" t="s">
        <v>10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349.0</v>
      </c>
      <c r="C2" s="1">
        <v>421.0</v>
      </c>
      <c r="D2" s="1">
        <v>578.0</v>
      </c>
      <c r="E2" s="1">
        <v>684.0</v>
      </c>
      <c r="F2" s="1">
        <v>812.0</v>
      </c>
      <c r="G2" s="1">
        <v>900.0</v>
      </c>
      <c r="H2" s="1">
        <v>998.0</v>
      </c>
      <c r="I2" s="1">
        <v>1190.0</v>
      </c>
      <c r="J2" s="1">
        <v>1240.0</v>
      </c>
      <c r="K2" s="1">
        <v>1250.0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349.0</v>
      </c>
      <c r="C3" s="1">
        <v>421.0</v>
      </c>
      <c r="D3" s="1">
        <v>578.0</v>
      </c>
      <c r="E3" s="1">
        <v>684.0</v>
      </c>
      <c r="F3" s="1">
        <v>812.0</v>
      </c>
      <c r="G3" s="1">
        <v>900.0</v>
      </c>
      <c r="H3" s="1">
        <v>998.0</v>
      </c>
      <c r="I3" s="1">
        <v>1190.0</v>
      </c>
      <c r="J3" s="1">
        <v>1240.0</v>
      </c>
      <c r="K3" s="1">
        <v>1250.0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255.0</v>
      </c>
      <c r="C4" s="1">
        <v>301.0</v>
      </c>
      <c r="D4" s="1">
        <v>422.0</v>
      </c>
      <c r="E4" s="1">
        <v>483.0</v>
      </c>
      <c r="F4" s="1">
        <v>581.0</v>
      </c>
      <c r="G4" s="1">
        <v>654.0</v>
      </c>
      <c r="H4" s="1">
        <v>705.0</v>
      </c>
      <c r="I4" s="1">
        <v>857.0</v>
      </c>
      <c r="J4" s="1">
        <v>929.0</v>
      </c>
      <c r="K4" s="1">
        <v>882.0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94.0</v>
      </c>
      <c r="C5" s="1">
        <v>120.0</v>
      </c>
      <c r="D5" s="1">
        <v>156.0</v>
      </c>
      <c r="E5" s="1">
        <v>200.0</v>
      </c>
      <c r="F5" s="1">
        <v>232.0</v>
      </c>
      <c r="G5" s="1">
        <v>247.0</v>
      </c>
      <c r="H5" s="1">
        <v>293.0</v>
      </c>
      <c r="I5" s="1">
        <v>330.0</v>
      </c>
      <c r="J5" s="1">
        <v>311.0</v>
      </c>
      <c r="K5" s="1">
        <v>363.0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53.0</v>
      </c>
      <c r="C6" s="1">
        <v>66.0</v>
      </c>
      <c r="D6" s="1">
        <v>110.0</v>
      </c>
      <c r="E6" s="1">
        <v>117.0</v>
      </c>
      <c r="F6" s="1">
        <v>137.0</v>
      </c>
      <c r="G6" s="1">
        <v>140.0</v>
      </c>
      <c r="H6" s="1">
        <v>144.0</v>
      </c>
      <c r="I6" s="1">
        <v>154.0</v>
      </c>
      <c r="J6" s="1">
        <v>166.0</v>
      </c>
      <c r="K6" s="1">
        <v>189.0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-2.0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18.0</v>
      </c>
      <c r="C8" s="1">
        <v>27.0</v>
      </c>
      <c r="D8" s="1">
        <v>64.0</v>
      </c>
      <c r="E8" s="1">
        <v>62.0</v>
      </c>
      <c r="F8" s="1">
        <v>77.0</v>
      </c>
      <c r="G8" s="1">
        <v>101.0</v>
      </c>
      <c r="H8" s="1">
        <v>114.0</v>
      </c>
      <c r="I8" s="1">
        <v>118.0</v>
      </c>
      <c r="J8" s="1">
        <v>131.0</v>
      </c>
      <c r="K8" s="1">
        <v>130.0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0.0</v>
      </c>
      <c r="C9" s="1">
        <v>0.0</v>
      </c>
      <c r="D9" s="1">
        <v>0.0</v>
      </c>
      <c r="E9" s="1">
        <v>34.0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71.0</v>
      </c>
      <c r="C10" s="1">
        <v>94.0</v>
      </c>
      <c r="D10" s="1">
        <v>174.0</v>
      </c>
      <c r="E10" s="1">
        <v>180.0</v>
      </c>
      <c r="F10" s="1">
        <v>214.0</v>
      </c>
      <c r="G10" s="1">
        <v>241.0</v>
      </c>
      <c r="H10" s="1">
        <v>255.0</v>
      </c>
      <c r="I10" s="1">
        <v>272.0</v>
      </c>
      <c r="J10" s="1">
        <v>297.0</v>
      </c>
      <c r="K10" s="1">
        <v>319.0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22.0</v>
      </c>
      <c r="C11" s="1">
        <v>25.0</v>
      </c>
      <c r="D11" s="1">
        <v>-17.0</v>
      </c>
      <c r="E11" s="1">
        <v>19.0</v>
      </c>
      <c r="F11" s="1">
        <v>17.0</v>
      </c>
      <c r="G11" s="1">
        <v>5.0</v>
      </c>
      <c r="H11" s="1">
        <v>38.0</v>
      </c>
      <c r="I11" s="1">
        <v>57.0</v>
      </c>
      <c r="J11" s="1">
        <v>13.0</v>
      </c>
      <c r="K11" s="1">
        <v>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-62.0</v>
      </c>
      <c r="C12" s="1">
        <v>-10.0</v>
      </c>
      <c r="D12" s="1">
        <v>-16.0</v>
      </c>
      <c r="E12" s="1">
        <v>-16.0</v>
      </c>
      <c r="F12" s="1">
        <v>-25.0</v>
      </c>
      <c r="G12" s="1">
        <v>-32.0</v>
      </c>
      <c r="H12" s="1">
        <v>-31.0</v>
      </c>
      <c r="I12" s="1">
        <v>-16.0</v>
      </c>
      <c r="J12" s="1">
        <v>-16.0</v>
      </c>
      <c r="K12" s="1">
        <v>-25.0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13.0</v>
      </c>
      <c r="C13" s="1">
        <v>33.0</v>
      </c>
      <c r="D13" s="1">
        <v>3.0</v>
      </c>
      <c r="E13" s="1">
        <v>20.0</v>
      </c>
      <c r="F13" s="1">
        <v>2.0</v>
      </c>
      <c r="G13" s="1">
        <v>3.0</v>
      </c>
      <c r="H13" s="1">
        <v>1.0</v>
      </c>
      <c r="I13" s="1">
        <v>82.0</v>
      </c>
      <c r="J13" s="1">
        <v>4.0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-48.0</v>
      </c>
      <c r="C14" s="1">
        <v>-9.0</v>
      </c>
      <c r="D14" s="1">
        <v>-16.0</v>
      </c>
      <c r="E14" s="1">
        <v>-16.0</v>
      </c>
      <c r="F14" s="1">
        <v>-22.0</v>
      </c>
      <c r="G14" s="1">
        <v>-29.0</v>
      </c>
      <c r="H14" s="1">
        <v>-30.0</v>
      </c>
      <c r="I14" s="1">
        <v>-16.0</v>
      </c>
      <c r="J14" s="1">
        <v>-12.0</v>
      </c>
      <c r="K14" s="1">
        <v>-18.0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-8.0</v>
      </c>
      <c r="D15" s="1">
        <v>-1.0</v>
      </c>
      <c r="E15" s="1">
        <v>-1.0</v>
      </c>
      <c r="F15" s="1">
        <v>-1.0</v>
      </c>
      <c r="G15" s="1">
        <v>-2.0</v>
      </c>
      <c r="H15" s="1">
        <v>-5.0</v>
      </c>
      <c r="I15" s="1">
        <v>-7.0</v>
      </c>
      <c r="J15" s="1">
        <v>-8.0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>
        <v>0.0</v>
      </c>
      <c r="D16" s="1">
        <v>71.0</v>
      </c>
      <c r="E16" s="1">
        <v>-49.0</v>
      </c>
      <c r="F16" s="1">
        <v>58.0</v>
      </c>
      <c r="G16" s="1">
        <v>7.0</v>
      </c>
      <c r="H16" s="1">
        <v>-11.0</v>
      </c>
      <c r="I16" s="1">
        <v>0.0</v>
      </c>
      <c r="J16" s="1">
        <v>-1.0</v>
      </c>
      <c r="K16" s="1">
        <v>-43.0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1.0</v>
      </c>
      <c r="C17" s="1">
        <v>1.0</v>
      </c>
      <c r="D17" s="1">
        <v>95.0</v>
      </c>
      <c r="E17" s="1">
        <v>0.0</v>
      </c>
      <c r="F17" s="1">
        <v>7.0</v>
      </c>
      <c r="G17" s="1">
        <v>-5.0</v>
      </c>
      <c r="H17" s="1">
        <v>2.0</v>
      </c>
      <c r="I17" s="1">
        <v>7.0</v>
      </c>
      <c r="J17" s="1">
        <v>1.0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23.0</v>
      </c>
      <c r="C18" s="1">
        <v>15.0</v>
      </c>
      <c r="D18" s="1">
        <v>-34.0</v>
      </c>
      <c r="E18" s="1">
        <v>1.0</v>
      </c>
      <c r="F18" s="1">
        <v>-5.0</v>
      </c>
      <c r="G18" s="1">
        <v>-31.0</v>
      </c>
      <c r="H18" s="1">
        <v>2.0</v>
      </c>
      <c r="I18" s="1">
        <v>34.0</v>
      </c>
      <c r="J18" s="1">
        <v>-8.0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-67.0</v>
      </c>
      <c r="D19" s="1">
        <v>-59.0</v>
      </c>
      <c r="E19" s="1">
        <v>0.0</v>
      </c>
      <c r="F19" s="1">
        <v>0.0</v>
      </c>
      <c r="G19" s="1">
        <v>0.0</v>
      </c>
      <c r="H19" s="1">
        <v>-19.0</v>
      </c>
      <c r="I19" s="1">
        <v>-18.0</v>
      </c>
      <c r="J19" s="1">
        <v>-78.0</v>
      </c>
      <c r="K19" s="1">
        <v>-56.0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-2.0</v>
      </c>
      <c r="C20" s="1">
        <v>-9.0</v>
      </c>
      <c r="D20" s="1">
        <v>-3.0</v>
      </c>
      <c r="E20" s="1">
        <v>-2.0</v>
      </c>
      <c r="F20" s="1">
        <v>-3.0</v>
      </c>
      <c r="G20" s="1">
        <v>-26.0</v>
      </c>
      <c r="H20" s="1">
        <v>0.0</v>
      </c>
      <c r="I20" s="1">
        <v>0.0</v>
      </c>
      <c r="J20" s="1">
        <v>-1.0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0.0</v>
      </c>
      <c r="C22" s="1">
        <v>0.0</v>
      </c>
      <c r="D22" s="1">
        <v>-73.0</v>
      </c>
      <c r="E22" s="1">
        <v>0.0</v>
      </c>
      <c r="F22" s="1">
        <v>0.0</v>
      </c>
      <c r="G22" s="1">
        <v>0.0</v>
      </c>
      <c r="H22" s="1">
        <v>5.0</v>
      </c>
      <c r="I22" s="1">
        <v>75.0</v>
      </c>
      <c r="J22" s="1">
        <v>9.0</v>
      </c>
      <c r="K22" s="1">
        <v>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5.0</v>
      </c>
      <c r="H23" s="1">
        <v>0.0</v>
      </c>
      <c r="I23" s="1">
        <v>96.0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0.0</v>
      </c>
      <c r="C24" s="1">
        <v>0.0</v>
      </c>
      <c r="D24" s="1">
        <v>0.0</v>
      </c>
      <c r="E24" s="1">
        <v>-1.0</v>
      </c>
      <c r="F24" s="1">
        <v>0.0</v>
      </c>
      <c r="G24" s="1">
        <v>-2.0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1.0</v>
      </c>
      <c r="C25" s="1">
        <v>4.0</v>
      </c>
      <c r="D25" s="1">
        <v>-1.0</v>
      </c>
      <c r="E25" s="1">
        <v>0.0</v>
      </c>
      <c r="F25" s="1">
        <v>0.0</v>
      </c>
      <c r="G25" s="1">
        <v>8.0</v>
      </c>
      <c r="H25" s="1">
        <v>3.0</v>
      </c>
      <c r="I25" s="1">
        <v>2.0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22.0</v>
      </c>
      <c r="C26" s="1">
        <v>8.0</v>
      </c>
      <c r="D26" s="1">
        <v>-40.0</v>
      </c>
      <c r="E26" s="1">
        <v>-1.0</v>
      </c>
      <c r="F26" s="1">
        <v>-9.0</v>
      </c>
      <c r="G26" s="1">
        <v>-48.0</v>
      </c>
      <c r="H26" s="1">
        <v>-8.0</v>
      </c>
      <c r="I26" s="1">
        <v>20.0</v>
      </c>
      <c r="J26" s="1">
        <v>-78.0</v>
      </c>
      <c r="K26" s="1">
        <v>-233.0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8.0</v>
      </c>
      <c r="C27" s="1">
        <v>4.0</v>
      </c>
      <c r="D27" s="1">
        <v>15.0</v>
      </c>
      <c r="E27" s="1">
        <v>1.0</v>
      </c>
      <c r="F27" s="1">
        <v>-13.0</v>
      </c>
      <c r="G27" s="1">
        <v>-30.0</v>
      </c>
      <c r="H27" s="1">
        <v>-5.0</v>
      </c>
      <c r="I27" s="1">
        <v>7.0</v>
      </c>
      <c r="J27" s="1">
        <v>7.0</v>
      </c>
      <c r="K27" s="1">
        <v>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1">
        <v>13.0</v>
      </c>
      <c r="C28" s="1">
        <v>4.0</v>
      </c>
      <c r="D28" s="1">
        <v>-55.0</v>
      </c>
      <c r="E28" s="1">
        <v>-3.0</v>
      </c>
      <c r="F28" s="1">
        <v>4.0</v>
      </c>
      <c r="G28" s="1">
        <v>-17.0</v>
      </c>
      <c r="H28" s="1">
        <v>-2.0</v>
      </c>
      <c r="I28" s="1">
        <v>12.0</v>
      </c>
      <c r="J28" s="1">
        <v>-85.0</v>
      </c>
      <c r="K28" s="1">
        <v>-246.0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>
        <v>13.0</v>
      </c>
      <c r="C29" s="1">
        <v>4.0</v>
      </c>
      <c r="D29" s="1">
        <v>-55.0</v>
      </c>
      <c r="E29" s="1">
        <v>-3.0</v>
      </c>
      <c r="F29" s="1">
        <v>4.0</v>
      </c>
      <c r="G29" s="1">
        <v>-17.0</v>
      </c>
      <c r="H29" s="1">
        <v>-2.0</v>
      </c>
      <c r="I29" s="1">
        <v>12.0</v>
      </c>
      <c r="J29" s="1">
        <v>-85.0</v>
      </c>
      <c r="K29" s="1">
        <v>-246.0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19.0</v>
      </c>
      <c r="C30" s="1">
        <v>0.0</v>
      </c>
      <c r="D30" s="1">
        <v>0.0</v>
      </c>
      <c r="E30" s="1">
        <v>0.0</v>
      </c>
      <c r="F30" s="1">
        <v>1.0</v>
      </c>
      <c r="G30" s="1">
        <v>42.0</v>
      </c>
      <c r="H30" s="1">
        <v>-46.0</v>
      </c>
      <c r="I30" s="1">
        <v>60.0</v>
      </c>
      <c r="J30" s="1">
        <v>4.0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14.0</v>
      </c>
      <c r="C31" s="1">
        <v>4.0</v>
      </c>
      <c r="D31" s="1">
        <v>-55.0</v>
      </c>
      <c r="E31" s="1">
        <v>-3.0</v>
      </c>
      <c r="F31" s="1">
        <v>5.0</v>
      </c>
      <c r="G31" s="1">
        <v>-16.0</v>
      </c>
      <c r="H31" s="1">
        <v>-3.0</v>
      </c>
      <c r="I31" s="1">
        <v>13.0</v>
      </c>
      <c r="J31" s="1">
        <v>-80.0</v>
      </c>
      <c r="K31" s="1">
        <v>-239.0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14.0</v>
      </c>
      <c r="C32" s="1">
        <v>4.0</v>
      </c>
      <c r="D32" s="1">
        <v>-55.0</v>
      </c>
      <c r="E32" s="1">
        <v>-3.0</v>
      </c>
      <c r="F32" s="1">
        <v>5.0</v>
      </c>
      <c r="G32" s="1">
        <v>-16.0</v>
      </c>
      <c r="H32" s="1">
        <v>-3.0</v>
      </c>
      <c r="I32" s="1">
        <v>13.0</v>
      </c>
      <c r="J32" s="1">
        <v>-80.0</v>
      </c>
      <c r="K32" s="1">
        <v>-239.0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14.0</v>
      </c>
      <c r="C33" s="1">
        <v>4.0</v>
      </c>
      <c r="D33" s="1">
        <v>-55.0</v>
      </c>
      <c r="E33" s="1">
        <v>-3.0</v>
      </c>
      <c r="F33" s="1">
        <v>5.0</v>
      </c>
      <c r="G33" s="1">
        <v>-16.0</v>
      </c>
      <c r="H33" s="1">
        <v>-3.0</v>
      </c>
      <c r="I33" s="1">
        <v>13.0</v>
      </c>
      <c r="J33" s="1">
        <v>-80.0</v>
      </c>
      <c r="K33" s="1">
        <v>-239.0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 t="s">
        <v>169</v>
      </c>
      <c r="C35" s="1" t="s">
        <v>170</v>
      </c>
      <c r="D35" s="1" t="s">
        <v>171</v>
      </c>
      <c r="E35" s="1" t="s">
        <v>172</v>
      </c>
      <c r="F35" s="1" t="s">
        <v>173</v>
      </c>
      <c r="G35" s="1" t="s">
        <v>174</v>
      </c>
      <c r="H35" s="1" t="s">
        <v>175</v>
      </c>
      <c r="I35" s="1" t="s">
        <v>176</v>
      </c>
      <c r="J35" s="1" t="s">
        <v>177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169</v>
      </c>
      <c r="C36" s="1" t="s">
        <v>170</v>
      </c>
      <c r="D36" s="1" t="s">
        <v>171</v>
      </c>
      <c r="E36" s="1" t="s">
        <v>172</v>
      </c>
      <c r="F36" s="1" t="s">
        <v>173</v>
      </c>
      <c r="G36" s="1" t="s">
        <v>174</v>
      </c>
      <c r="H36" s="1" t="s">
        <v>175</v>
      </c>
      <c r="I36" s="1" t="s">
        <v>176</v>
      </c>
      <c r="J36" s="1" t="s">
        <v>177</v>
      </c>
      <c r="K36" s="1" t="s">
        <v>178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34.0</v>
      </c>
      <c r="C37" s="1">
        <v>36.0</v>
      </c>
      <c r="D37" s="1">
        <v>42.0</v>
      </c>
      <c r="E37" s="1">
        <v>43.0</v>
      </c>
      <c r="F37" s="1">
        <v>45.0</v>
      </c>
      <c r="G37" s="1">
        <v>50.0</v>
      </c>
      <c r="H37" s="1">
        <v>53.0</v>
      </c>
      <c r="I37" s="1">
        <v>54.0</v>
      </c>
      <c r="J37" s="1">
        <v>55.0</v>
      </c>
      <c r="K37" s="1">
        <v>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 t="s">
        <v>182</v>
      </c>
      <c r="C38" s="1" t="s">
        <v>170</v>
      </c>
      <c r="D38" s="1" t="s">
        <v>171</v>
      </c>
      <c r="E38" s="1" t="s">
        <v>172</v>
      </c>
      <c r="F38" s="1" t="s">
        <v>170</v>
      </c>
      <c r="G38" s="1" t="s">
        <v>174</v>
      </c>
      <c r="H38" s="1" t="s">
        <v>175</v>
      </c>
      <c r="I38" s="1" t="s">
        <v>176</v>
      </c>
      <c r="J38" s="1" t="s">
        <v>183</v>
      </c>
      <c r="K38" s="1" t="s">
        <v>178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 t="s">
        <v>182</v>
      </c>
      <c r="C39" s="1" t="s">
        <v>170</v>
      </c>
      <c r="D39" s="1" t="s">
        <v>171</v>
      </c>
      <c r="E39" s="1" t="s">
        <v>172</v>
      </c>
      <c r="F39" s="1" t="s">
        <v>170</v>
      </c>
      <c r="G39" s="1" t="s">
        <v>174</v>
      </c>
      <c r="H39" s="1" t="s">
        <v>175</v>
      </c>
      <c r="I39" s="1" t="s">
        <v>176</v>
      </c>
      <c r="J39" s="1" t="s">
        <v>183</v>
      </c>
      <c r="K39" s="1" t="s">
        <v>178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36.0</v>
      </c>
      <c r="C40" s="1">
        <v>38.0</v>
      </c>
      <c r="D40" s="1">
        <v>42.0</v>
      </c>
      <c r="E40" s="1">
        <v>43.0</v>
      </c>
      <c r="F40" s="1">
        <v>47.0</v>
      </c>
      <c r="G40" s="1">
        <v>50.0</v>
      </c>
      <c r="H40" s="1">
        <v>53.0</v>
      </c>
      <c r="I40" s="1">
        <v>55.0</v>
      </c>
      <c r="J40" s="1">
        <v>56.0</v>
      </c>
      <c r="K40" s="1">
        <v>54.0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 t="s">
        <v>187</v>
      </c>
      <c r="C41" s="1" t="s">
        <v>188</v>
      </c>
      <c r="D41" s="1" t="s">
        <v>189</v>
      </c>
      <c r="E41" s="1" t="s">
        <v>190</v>
      </c>
      <c r="F41" s="1" t="s">
        <v>191</v>
      </c>
      <c r="G41" s="1" t="s">
        <v>192</v>
      </c>
      <c r="H41" s="1" t="s">
        <v>193</v>
      </c>
      <c r="I41" s="1" t="s">
        <v>169</v>
      </c>
      <c r="J41" s="1" t="s">
        <v>194</v>
      </c>
      <c r="K41" s="1" t="s">
        <v>195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 t="s">
        <v>197</v>
      </c>
      <c r="C42" s="1" t="s">
        <v>198</v>
      </c>
      <c r="D42" s="1" t="s">
        <v>189</v>
      </c>
      <c r="E42" s="1" t="s">
        <v>190</v>
      </c>
      <c r="F42" s="1" t="s">
        <v>191</v>
      </c>
      <c r="G42" s="1" t="s">
        <v>192</v>
      </c>
      <c r="H42" s="1" t="s">
        <v>193</v>
      </c>
      <c r="I42" s="1" t="s">
        <v>197</v>
      </c>
      <c r="J42" s="1" t="s">
        <v>194</v>
      </c>
      <c r="K42" s="1" t="s">
        <v>195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38.0</v>
      </c>
      <c r="C44" s="1">
        <v>50.0</v>
      </c>
      <c r="D44" s="1">
        <v>42.0</v>
      </c>
      <c r="E44" s="1">
        <v>77.0</v>
      </c>
      <c r="F44" s="1">
        <v>87.0</v>
      </c>
      <c r="G44" s="1">
        <v>94.0</v>
      </c>
      <c r="H44" s="1">
        <v>133.0</v>
      </c>
      <c r="I44" s="1">
        <v>147.0</v>
      </c>
      <c r="J44" s="1">
        <v>107.0</v>
      </c>
      <c r="K44" s="1">
        <v>122.0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32.0</v>
      </c>
      <c r="C45" s="1">
        <v>42.0</v>
      </c>
      <c r="D45" s="1">
        <v>27.0</v>
      </c>
      <c r="E45" s="1">
        <v>62.0</v>
      </c>
      <c r="F45" s="1">
        <v>71.0</v>
      </c>
      <c r="G45" s="1">
        <v>73.0</v>
      </c>
      <c r="H45" s="1">
        <v>112.0</v>
      </c>
      <c r="I45" s="1">
        <v>127.0</v>
      </c>
      <c r="J45" s="1">
        <v>85.0</v>
      </c>
      <c r="K45" s="1">
        <v>107.0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22.0</v>
      </c>
      <c r="C46" s="1">
        <v>25.0</v>
      </c>
      <c r="D46" s="1">
        <v>-17.0</v>
      </c>
      <c r="E46" s="1">
        <v>19.0</v>
      </c>
      <c r="F46" s="1">
        <v>17.0</v>
      </c>
      <c r="G46" s="1">
        <v>5.0</v>
      </c>
      <c r="H46" s="1">
        <v>38.0</v>
      </c>
      <c r="I46" s="1">
        <v>57.0</v>
      </c>
      <c r="J46" s="1">
        <v>13.0</v>
      </c>
      <c r="K46" s="1">
        <v>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46.0</v>
      </c>
      <c r="C47" s="1">
        <v>59.0</v>
      </c>
      <c r="D47" s="1">
        <v>57.0</v>
      </c>
      <c r="E47" s="1">
        <v>95.0</v>
      </c>
      <c r="F47" s="1">
        <v>107.0</v>
      </c>
      <c r="G47" s="1">
        <v>117.0</v>
      </c>
      <c r="H47" s="1">
        <v>156.0</v>
      </c>
      <c r="I47" s="1">
        <v>171.0</v>
      </c>
      <c r="J47" s="1">
        <v>135.0</v>
      </c>
      <c r="K47" s="1">
        <v>156.0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349.0</v>
      </c>
      <c r="C48" s="1">
        <v>421.0</v>
      </c>
      <c r="D48" s="1">
        <v>578.0</v>
      </c>
      <c r="E48" s="1">
        <v>684.0</v>
      </c>
      <c r="F48" s="1">
        <v>812.0</v>
      </c>
      <c r="G48" s="1">
        <v>900.0</v>
      </c>
      <c r="H48" s="1">
        <v>998.0</v>
      </c>
      <c r="I48" s="1">
        <v>1190.0</v>
      </c>
      <c r="J48" s="1">
        <v>1240.0</v>
      </c>
      <c r="K48" s="1">
        <v>1250.0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 t="s">
        <v>205</v>
      </c>
      <c r="C49" s="1" t="s">
        <v>206</v>
      </c>
      <c r="D49" s="1" t="s">
        <v>207</v>
      </c>
      <c r="E49" s="1" t="s">
        <v>208</v>
      </c>
      <c r="F49" s="1" t="s">
        <v>209</v>
      </c>
      <c r="G49" s="1" t="s">
        <v>210</v>
      </c>
      <c r="H49" s="1" t="s">
        <v>211</v>
      </c>
      <c r="I49" s="1" t="s">
        <v>212</v>
      </c>
      <c r="J49" s="1">
        <v>-9.0</v>
      </c>
      <c r="K49" s="1" t="s">
        <v>213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12.0</v>
      </c>
      <c r="C50" s="1">
        <v>14.0</v>
      </c>
      <c r="D50" s="1">
        <v>4.0</v>
      </c>
      <c r="E50" s="1">
        <v>-25.0</v>
      </c>
      <c r="F50" s="1">
        <v>5.0</v>
      </c>
      <c r="G50" s="1">
        <v>2.0</v>
      </c>
      <c r="H50" s="1">
        <v>1.0</v>
      </c>
      <c r="I50" s="1">
        <v>3.0</v>
      </c>
      <c r="J50" s="1">
        <v>8.0</v>
      </c>
      <c r="K50" s="1">
        <v>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53.0</v>
      </c>
      <c r="C51" s="1">
        <v>68.0</v>
      </c>
      <c r="D51" s="1">
        <v>4.0</v>
      </c>
      <c r="E51" s="1">
        <v>6.0</v>
      </c>
      <c r="F51" s="1">
        <v>4.0</v>
      </c>
      <c r="G51" s="1">
        <v>5.0</v>
      </c>
      <c r="H51" s="1">
        <v>-4.0</v>
      </c>
      <c r="I51" s="1">
        <v>4.0</v>
      </c>
      <c r="J51" s="1">
        <v>2.0</v>
      </c>
      <c r="K51" s="1">
        <v>58.0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13.0</v>
      </c>
      <c r="C52" s="1">
        <v>15.0</v>
      </c>
      <c r="D52" s="1">
        <v>9.0</v>
      </c>
      <c r="E52" s="1">
        <v>6.0</v>
      </c>
      <c r="F52" s="1">
        <v>10.0</v>
      </c>
      <c r="G52" s="1">
        <v>8.0</v>
      </c>
      <c r="H52" s="1">
        <v>-3.0</v>
      </c>
      <c r="I52" s="1">
        <v>7.0</v>
      </c>
      <c r="J52" s="1">
        <v>10.0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-4.0</v>
      </c>
      <c r="C53" s="1">
        <v>-10.0</v>
      </c>
      <c r="D53" s="1">
        <v>6.0</v>
      </c>
      <c r="E53" s="1">
        <v>-4.0</v>
      </c>
      <c r="F53" s="1">
        <v>-22.0</v>
      </c>
      <c r="G53" s="1">
        <v>-39.0</v>
      </c>
      <c r="H53" s="1">
        <v>-1.0</v>
      </c>
      <c r="I53" s="1">
        <v>47.0</v>
      </c>
      <c r="J53" s="1">
        <v>-3.0</v>
      </c>
      <c r="K53" s="1">
        <v>-2.0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218</v>
      </c>
      <c r="B54" s="1">
        <v>-12.0</v>
      </c>
      <c r="C54" s="1">
        <v>16.0</v>
      </c>
      <c r="D54" s="1">
        <v>-52.0</v>
      </c>
      <c r="E54" s="1">
        <v>-30.0</v>
      </c>
      <c r="F54" s="1">
        <v>-1.0</v>
      </c>
      <c r="G54" s="1">
        <v>-7.0</v>
      </c>
      <c r="H54" s="1">
        <v>-38.0</v>
      </c>
      <c r="I54" s="1">
        <v>-79.0</v>
      </c>
      <c r="J54" s="1">
        <v>40.0</v>
      </c>
      <c r="K54" s="1">
        <v>78.0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219</v>
      </c>
      <c r="B55" s="1">
        <v>-4.0</v>
      </c>
      <c r="C55" s="1">
        <v>-10.0</v>
      </c>
      <c r="D55" s="1">
        <v>5.0</v>
      </c>
      <c r="E55" s="1">
        <v>-4.0</v>
      </c>
      <c r="F55" s="1">
        <v>-23.0</v>
      </c>
      <c r="G55" s="1">
        <v>-39.0</v>
      </c>
      <c r="H55" s="1">
        <v>-1.0</v>
      </c>
      <c r="I55" s="1">
        <v>-32.0</v>
      </c>
      <c r="J55" s="1">
        <v>-3.0</v>
      </c>
      <c r="K55" s="1">
        <v>-1.0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220</v>
      </c>
      <c r="B56" s="1">
        <v>14.0</v>
      </c>
      <c r="C56" s="1">
        <v>9.0</v>
      </c>
      <c r="D56" s="1">
        <v>-21.0</v>
      </c>
      <c r="E56" s="1">
        <v>1.0</v>
      </c>
      <c r="F56" s="1">
        <v>-1.0</v>
      </c>
      <c r="G56" s="1">
        <v>-19.0</v>
      </c>
      <c r="H56" s="1">
        <v>1.0</v>
      </c>
      <c r="I56" s="1">
        <v>22.0</v>
      </c>
      <c r="J56" s="1">
        <v>-57.0</v>
      </c>
      <c r="K56" s="1">
        <v>16.0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221</v>
      </c>
      <c r="B57" s="1">
        <v>62.0</v>
      </c>
      <c r="C57" s="1">
        <v>10.0</v>
      </c>
      <c r="D57" s="1">
        <v>16.0</v>
      </c>
      <c r="E57" s="1">
        <v>16.0</v>
      </c>
      <c r="F57" s="1">
        <v>25.0</v>
      </c>
      <c r="G57" s="1">
        <v>32.0</v>
      </c>
      <c r="H57" s="1">
        <v>31.0</v>
      </c>
      <c r="I57" s="1">
        <v>16.0</v>
      </c>
      <c r="J57" s="1">
        <v>16.0</v>
      </c>
      <c r="K57" s="1">
        <v>25.0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12.0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223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224</v>
      </c>
      <c r="B60" s="1">
        <v>67.0</v>
      </c>
      <c r="C60" s="1">
        <v>64.0</v>
      </c>
      <c r="D60" s="1">
        <v>70.0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225</v>
      </c>
      <c r="B61" s="1">
        <v>67.0</v>
      </c>
      <c r="C61" s="1">
        <v>64.0</v>
      </c>
      <c r="D61" s="1">
        <v>70.0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226</v>
      </c>
      <c r="B62" s="1">
        <v>45.0</v>
      </c>
      <c r="C62" s="1">
        <v>57.0</v>
      </c>
      <c r="D62" s="1">
        <v>94.0</v>
      </c>
      <c r="E62" s="1">
        <v>99.0</v>
      </c>
      <c r="F62" s="1">
        <v>137.0</v>
      </c>
      <c r="G62" s="1">
        <v>140.0</v>
      </c>
      <c r="H62" s="1">
        <v>144.0</v>
      </c>
      <c r="I62" s="1">
        <v>154.0</v>
      </c>
      <c r="J62" s="1">
        <v>166.0</v>
      </c>
      <c r="K62" s="1">
        <v>189.0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227</v>
      </c>
      <c r="B63" s="1">
        <v>10.0</v>
      </c>
      <c r="C63" s="1">
        <v>13.0</v>
      </c>
      <c r="D63" s="1">
        <v>33.0</v>
      </c>
      <c r="E63" s="1">
        <v>33.0</v>
      </c>
      <c r="F63" s="1">
        <v>36.0</v>
      </c>
      <c r="G63" s="1">
        <v>37.0</v>
      </c>
      <c r="H63" s="1">
        <v>35.0</v>
      </c>
      <c r="I63" s="1">
        <v>43.0</v>
      </c>
      <c r="J63" s="1">
        <v>59.0</v>
      </c>
      <c r="K63" s="1">
        <v>192.0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228</v>
      </c>
      <c r="B64" s="1">
        <v>7.0</v>
      </c>
      <c r="C64" s="1">
        <v>8.0</v>
      </c>
      <c r="D64" s="1">
        <v>14.0</v>
      </c>
      <c r="E64" s="1">
        <v>18.0</v>
      </c>
      <c r="F64" s="1">
        <v>19.0</v>
      </c>
      <c r="G64" s="1">
        <v>22.0</v>
      </c>
      <c r="H64" s="1">
        <v>22.0</v>
      </c>
      <c r="I64" s="1">
        <v>23.0</v>
      </c>
      <c r="J64" s="1">
        <v>27.0</v>
      </c>
      <c r="K64" s="1">
        <v>33.0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229</v>
      </c>
      <c r="B65" s="1">
        <v>0.0</v>
      </c>
      <c r="C65" s="1">
        <v>3.0</v>
      </c>
      <c r="D65" s="1">
        <v>6.0</v>
      </c>
      <c r="E65" s="1">
        <v>8.0</v>
      </c>
      <c r="F65" s="1">
        <v>11.0</v>
      </c>
      <c r="G65" s="1">
        <v>10.0</v>
      </c>
      <c r="H65" s="1">
        <v>7.0</v>
      </c>
      <c r="I65" s="1">
        <v>3.0</v>
      </c>
      <c r="J65" s="1">
        <v>3.0</v>
      </c>
      <c r="K65" s="1">
        <v>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230</v>
      </c>
      <c r="B66" s="1">
        <v>0.0</v>
      </c>
      <c r="C66" s="1">
        <v>5.0</v>
      </c>
      <c r="D66" s="1">
        <v>8.0</v>
      </c>
      <c r="E66" s="1">
        <v>9.0</v>
      </c>
      <c r="F66" s="1">
        <v>8.0</v>
      </c>
      <c r="G66" s="1">
        <v>12.0</v>
      </c>
      <c r="H66" s="1">
        <v>15.0</v>
      </c>
      <c r="I66" s="1">
        <v>20.0</v>
      </c>
      <c r="J66" s="1">
        <v>23.0</v>
      </c>
      <c r="K66" s="1">
        <v>27.0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231</v>
      </c>
      <c r="B67" s="1">
        <v>11.0</v>
      </c>
      <c r="C67" s="1">
        <v>15.0</v>
      </c>
      <c r="D67" s="1">
        <v>33.0</v>
      </c>
      <c r="E67" s="1">
        <v>31.0</v>
      </c>
      <c r="F67" s="1">
        <v>40.0</v>
      </c>
      <c r="G67" s="1">
        <v>54.0</v>
      </c>
      <c r="H67" s="1">
        <v>0.0</v>
      </c>
      <c r="I67" s="1">
        <v>0.0</v>
      </c>
      <c r="J67" s="1">
        <v>80.0</v>
      </c>
      <c r="K67" s="1">
        <v>71.0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232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>
        <v>56.0</v>
      </c>
      <c r="I68" s="1">
        <v>67.0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233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>
        <v>-2.0</v>
      </c>
      <c r="I69" s="1">
        <v>49.0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234</v>
      </c>
      <c r="B70" s="1">
        <v>11.0</v>
      </c>
      <c r="C70" s="1">
        <v>15.0</v>
      </c>
      <c r="D70" s="1">
        <v>33.0</v>
      </c>
      <c r="E70" s="1">
        <v>31.0</v>
      </c>
      <c r="F70" s="1">
        <v>40.0</v>
      </c>
      <c r="G70" s="1">
        <v>54.0</v>
      </c>
      <c r="H70" s="1">
        <v>53.0</v>
      </c>
      <c r="I70" s="1">
        <v>68.0</v>
      </c>
      <c r="J70" s="1">
        <v>80.0</v>
      </c>
      <c r="K70" s="1">
        <v>71.0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10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236</v>
      </c>
      <c r="B3" s="1" t="s">
        <v>237</v>
      </c>
      <c r="C3" s="1" t="s">
        <v>238</v>
      </c>
      <c r="D3" s="1" t="s">
        <v>239</v>
      </c>
      <c r="E3" s="1" t="s">
        <v>240</v>
      </c>
      <c r="F3" s="1">
        <v>1.0</v>
      </c>
      <c r="G3" s="1" t="s">
        <v>241</v>
      </c>
      <c r="H3" s="1" t="s">
        <v>242</v>
      </c>
      <c r="I3" s="1" t="s">
        <v>243</v>
      </c>
      <c r="J3" s="1" t="s">
        <v>244</v>
      </c>
      <c r="K3" s="1" t="s">
        <v>245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246</v>
      </c>
      <c r="B4" s="1" t="s">
        <v>247</v>
      </c>
      <c r="C4" s="1" t="s">
        <v>248</v>
      </c>
      <c r="D4" s="1" t="s">
        <v>249</v>
      </c>
      <c r="E4" s="1" t="s">
        <v>250</v>
      </c>
      <c r="F4" s="1" t="s">
        <v>251</v>
      </c>
      <c r="G4" s="1" t="s">
        <v>188</v>
      </c>
      <c r="H4" s="1" t="s">
        <v>252</v>
      </c>
      <c r="I4" s="1" t="s">
        <v>253</v>
      </c>
      <c r="J4" s="1" t="s">
        <v>254</v>
      </c>
      <c r="K4" s="1" t="s">
        <v>255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257</v>
      </c>
      <c r="C5" s="1" t="s">
        <v>245</v>
      </c>
      <c r="D5" s="1" t="s">
        <v>258</v>
      </c>
      <c r="E5" s="1" t="s">
        <v>259</v>
      </c>
      <c r="F5" s="1" t="s">
        <v>260</v>
      </c>
      <c r="G5" s="1" t="s">
        <v>261</v>
      </c>
      <c r="H5" s="1" t="s">
        <v>262</v>
      </c>
      <c r="I5" s="1" t="s">
        <v>263</v>
      </c>
      <c r="J5" s="1" t="s">
        <v>264</v>
      </c>
      <c r="K5" s="1" t="s">
        <v>265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266</v>
      </c>
      <c r="B6" s="1" t="s">
        <v>267</v>
      </c>
      <c r="C6" s="1" t="s">
        <v>245</v>
      </c>
      <c r="D6" s="1" t="s">
        <v>268</v>
      </c>
      <c r="E6" s="1" t="s">
        <v>259</v>
      </c>
      <c r="F6" s="1" t="s">
        <v>269</v>
      </c>
      <c r="G6" s="1" t="s">
        <v>270</v>
      </c>
      <c r="H6" s="1" t="s">
        <v>271</v>
      </c>
      <c r="I6" s="1" t="s">
        <v>245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 t="s">
        <v>279</v>
      </c>
      <c r="F8" s="1" t="s">
        <v>280</v>
      </c>
      <c r="G8" s="1" t="s">
        <v>281</v>
      </c>
      <c r="H8" s="1" t="s">
        <v>282</v>
      </c>
      <c r="I8" s="1" t="s">
        <v>283</v>
      </c>
      <c r="J8" s="1" t="s">
        <v>284</v>
      </c>
      <c r="K8" s="1" t="s">
        <v>285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286</v>
      </c>
      <c r="B9" s="1" t="s">
        <v>287</v>
      </c>
      <c r="C9" s="1" t="s">
        <v>288</v>
      </c>
      <c r="D9" s="1" t="s">
        <v>289</v>
      </c>
      <c r="E9" s="1" t="s">
        <v>290</v>
      </c>
      <c r="F9" s="1" t="s">
        <v>291</v>
      </c>
      <c r="G9" s="1" t="s">
        <v>292</v>
      </c>
      <c r="H9" s="1" t="s">
        <v>293</v>
      </c>
      <c r="I9" s="1">
        <v>13.0</v>
      </c>
      <c r="J9" s="1" t="s">
        <v>294</v>
      </c>
      <c r="K9" s="1" t="s">
        <v>295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296</v>
      </c>
      <c r="B10" s="1" t="s">
        <v>297</v>
      </c>
      <c r="C10" s="1" t="s">
        <v>298</v>
      </c>
      <c r="D10" s="1" t="s">
        <v>299</v>
      </c>
      <c r="E10" s="1" t="s">
        <v>300</v>
      </c>
      <c r="F10" s="1" t="s">
        <v>301</v>
      </c>
      <c r="G10" s="1" t="s">
        <v>302</v>
      </c>
      <c r="H10" s="1" t="s">
        <v>303</v>
      </c>
      <c r="I10" s="1" t="s">
        <v>304</v>
      </c>
      <c r="J10" s="1" t="s">
        <v>305</v>
      </c>
      <c r="K10" s="1" t="s">
        <v>306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307</v>
      </c>
      <c r="B11" s="1" t="s">
        <v>308</v>
      </c>
      <c r="C11" s="1" t="s">
        <v>309</v>
      </c>
      <c r="D11" s="1" t="s">
        <v>310</v>
      </c>
      <c r="E11" s="1" t="s">
        <v>311</v>
      </c>
      <c r="F11" s="1" t="s">
        <v>312</v>
      </c>
      <c r="G11" s="1" t="s">
        <v>313</v>
      </c>
      <c r="H11" s="1" t="s">
        <v>314</v>
      </c>
      <c r="I11" s="1" t="s">
        <v>315</v>
      </c>
      <c r="J11" s="1" t="s">
        <v>316</v>
      </c>
      <c r="K11" s="1" t="s">
        <v>317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318</v>
      </c>
      <c r="B12" s="1" t="s">
        <v>319</v>
      </c>
      <c r="C12" s="1" t="s">
        <v>320</v>
      </c>
      <c r="D12" s="1" t="s">
        <v>321</v>
      </c>
      <c r="E12" s="1" t="s">
        <v>248</v>
      </c>
      <c r="F12" s="1" t="s">
        <v>322</v>
      </c>
      <c r="G12" s="1" t="s">
        <v>323</v>
      </c>
      <c r="H12" s="1" t="s">
        <v>324</v>
      </c>
      <c r="I12" s="1" t="s">
        <v>325</v>
      </c>
      <c r="J12" s="1" t="s">
        <v>326</v>
      </c>
      <c r="K12" s="1" t="s">
        <v>327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328</v>
      </c>
      <c r="B13" s="1" t="s">
        <v>329</v>
      </c>
      <c r="C13" s="1" t="s">
        <v>330</v>
      </c>
      <c r="D13" s="1" t="s">
        <v>331</v>
      </c>
      <c r="E13" s="1" t="s">
        <v>332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340</v>
      </c>
      <c r="C14" s="1" t="s">
        <v>330</v>
      </c>
      <c r="D14" s="1" t="s">
        <v>331</v>
      </c>
      <c r="E14" s="1" t="s">
        <v>332</v>
      </c>
      <c r="F14" s="1" t="s">
        <v>341</v>
      </c>
      <c r="G14" s="1" t="s">
        <v>342</v>
      </c>
      <c r="H14" s="1" t="s">
        <v>343</v>
      </c>
      <c r="I14" s="1" t="s">
        <v>344</v>
      </c>
      <c r="J14" s="1" t="s">
        <v>345</v>
      </c>
      <c r="K14" s="1" t="s">
        <v>346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347</v>
      </c>
      <c r="B15" s="1" t="s">
        <v>340</v>
      </c>
      <c r="C15" s="1" t="s">
        <v>330</v>
      </c>
      <c r="D15" s="1" t="s">
        <v>331</v>
      </c>
      <c r="E15" s="1" t="s">
        <v>332</v>
      </c>
      <c r="F15" s="1" t="s">
        <v>341</v>
      </c>
      <c r="G15" s="1" t="s">
        <v>342</v>
      </c>
      <c r="H15" s="1" t="s">
        <v>343</v>
      </c>
      <c r="I15" s="1" t="s">
        <v>344</v>
      </c>
      <c r="J15" s="1" t="s">
        <v>345</v>
      </c>
      <c r="K15" s="1" t="s">
        <v>346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348</v>
      </c>
      <c r="B16" s="1" t="s">
        <v>349</v>
      </c>
      <c r="C16" s="1" t="s">
        <v>350</v>
      </c>
      <c r="D16" s="1" t="s">
        <v>351</v>
      </c>
      <c r="E16" s="1" t="s">
        <v>352</v>
      </c>
      <c r="F16" s="1" t="s">
        <v>353</v>
      </c>
      <c r="G16" s="1" t="s">
        <v>354</v>
      </c>
      <c r="H16" s="1" t="s">
        <v>355</v>
      </c>
      <c r="I16" s="1" t="s">
        <v>356</v>
      </c>
      <c r="J16" s="1" t="s">
        <v>357</v>
      </c>
      <c r="K16" s="1" t="s">
        <v>358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360</v>
      </c>
      <c r="C17" s="1" t="s">
        <v>361</v>
      </c>
      <c r="D17" s="1" t="s">
        <v>362</v>
      </c>
      <c r="E17" s="1" t="s">
        <v>363</v>
      </c>
      <c r="F17" s="1" t="s">
        <v>364</v>
      </c>
      <c r="G17" s="1" t="s">
        <v>365</v>
      </c>
      <c r="H17" s="1" t="s">
        <v>366</v>
      </c>
      <c r="I17" s="1" t="s">
        <v>367</v>
      </c>
      <c r="J17" s="1" t="s">
        <v>368</v>
      </c>
      <c r="K17" s="1" t="s">
        <v>369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370</v>
      </c>
      <c r="B18" s="1" t="s">
        <v>371</v>
      </c>
      <c r="C18" s="1" t="s">
        <v>372</v>
      </c>
      <c r="D18" s="1">
        <v>12.0</v>
      </c>
      <c r="E18" s="1" t="s">
        <v>373</v>
      </c>
      <c r="F18" s="1" t="s">
        <v>371</v>
      </c>
      <c r="G18" s="1" t="s">
        <v>374</v>
      </c>
      <c r="H18" s="1" t="s">
        <v>375</v>
      </c>
      <c r="I18" s="1" t="s">
        <v>376</v>
      </c>
      <c r="J18" s="1" t="s">
        <v>377</v>
      </c>
      <c r="K18" s="1" t="s">
        <v>378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379</v>
      </c>
      <c r="B20" s="1" t="s">
        <v>380</v>
      </c>
      <c r="C20" s="1" t="s">
        <v>381</v>
      </c>
      <c r="D20" s="1" t="s">
        <v>382</v>
      </c>
      <c r="E20" s="1" t="s">
        <v>383</v>
      </c>
      <c r="F20" s="1" t="s">
        <v>260</v>
      </c>
      <c r="G20" s="1" t="s">
        <v>384</v>
      </c>
      <c r="H20" s="1" t="s">
        <v>385</v>
      </c>
      <c r="I20" s="1" t="s">
        <v>386</v>
      </c>
      <c r="J20" s="1" t="s">
        <v>387</v>
      </c>
      <c r="K20" s="1" t="s">
        <v>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389</v>
      </c>
      <c r="B21" s="1" t="s">
        <v>390</v>
      </c>
      <c r="C21" s="1" t="s">
        <v>391</v>
      </c>
      <c r="D21" s="1" t="s">
        <v>392</v>
      </c>
      <c r="E21" s="1" t="s">
        <v>393</v>
      </c>
      <c r="F21" s="1" t="s">
        <v>394</v>
      </c>
      <c r="G21" s="1" t="s">
        <v>395</v>
      </c>
      <c r="H21" s="1" t="s">
        <v>396</v>
      </c>
      <c r="I21" s="1" t="s">
        <v>397</v>
      </c>
      <c r="J21" s="1" t="s">
        <v>398</v>
      </c>
      <c r="K21" s="1" t="s">
        <v>399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400</v>
      </c>
      <c r="B22" s="1" t="s">
        <v>401</v>
      </c>
      <c r="C22" s="1" t="s">
        <v>402</v>
      </c>
      <c r="D22" s="1" t="s">
        <v>403</v>
      </c>
      <c r="E22" s="1" t="s">
        <v>404</v>
      </c>
      <c r="F22" s="1" t="s">
        <v>405</v>
      </c>
      <c r="G22" s="1" t="s">
        <v>406</v>
      </c>
      <c r="H22" s="1" t="s">
        <v>407</v>
      </c>
      <c r="I22" s="1" t="s">
        <v>408</v>
      </c>
      <c r="J22" s="1" t="s">
        <v>409</v>
      </c>
      <c r="K22" s="1" t="s">
        <v>410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412</v>
      </c>
      <c r="B24" s="1" t="s">
        <v>413</v>
      </c>
      <c r="C24" s="1" t="s">
        <v>414</v>
      </c>
      <c r="D24" s="1" t="s">
        <v>415</v>
      </c>
      <c r="E24" s="1" t="s">
        <v>416</v>
      </c>
      <c r="F24" s="1" t="s">
        <v>326</v>
      </c>
      <c r="G24" s="1" t="s">
        <v>417</v>
      </c>
      <c r="H24" s="1" t="s">
        <v>418</v>
      </c>
      <c r="I24" s="1" t="s">
        <v>419</v>
      </c>
      <c r="J24" s="1" t="s">
        <v>416</v>
      </c>
      <c r="K24" s="1" t="s">
        <v>417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420</v>
      </c>
      <c r="B25" s="1" t="s">
        <v>421</v>
      </c>
      <c r="C25" s="1" t="s">
        <v>422</v>
      </c>
      <c r="D25" s="1" t="s">
        <v>382</v>
      </c>
      <c r="E25" s="1" t="s">
        <v>423</v>
      </c>
      <c r="F25" s="1" t="s">
        <v>380</v>
      </c>
      <c r="G25" s="1" t="s">
        <v>424</v>
      </c>
      <c r="H25" s="1">
        <v>2.0</v>
      </c>
      <c r="I25" s="1" t="s">
        <v>425</v>
      </c>
      <c r="J25" s="1" t="s">
        <v>426</v>
      </c>
      <c r="K25" s="1" t="s">
        <v>427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428</v>
      </c>
      <c r="B26" s="1" t="s">
        <v>429</v>
      </c>
      <c r="C26" s="1" t="s">
        <v>241</v>
      </c>
      <c r="D26" s="1" t="s">
        <v>333</v>
      </c>
      <c r="E26" s="1" t="s">
        <v>430</v>
      </c>
      <c r="F26" s="1" t="s">
        <v>431</v>
      </c>
      <c r="G26" s="1" t="s">
        <v>432</v>
      </c>
      <c r="H26" s="1" t="s">
        <v>433</v>
      </c>
      <c r="I26" s="1" t="s">
        <v>429</v>
      </c>
      <c r="J26" s="1" t="s">
        <v>434</v>
      </c>
      <c r="K26" s="1" t="s">
        <v>432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435</v>
      </c>
      <c r="B27" s="1" t="s">
        <v>436</v>
      </c>
      <c r="C27" s="1" t="s">
        <v>437</v>
      </c>
      <c r="D27" s="1" t="s">
        <v>438</v>
      </c>
      <c r="E27" s="1" t="s">
        <v>439</v>
      </c>
      <c r="F27" s="1" t="s">
        <v>440</v>
      </c>
      <c r="G27" s="1" t="s">
        <v>441</v>
      </c>
      <c r="H27" s="1" t="s">
        <v>442</v>
      </c>
      <c r="I27" s="1" t="s">
        <v>443</v>
      </c>
      <c r="J27" s="1">
        <v>29.0</v>
      </c>
      <c r="K27" s="1" t="s">
        <v>444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445</v>
      </c>
      <c r="B28" s="1" t="s">
        <v>446</v>
      </c>
      <c r="C28" s="1" t="s">
        <v>447</v>
      </c>
      <c r="D28" s="1" t="s">
        <v>448</v>
      </c>
      <c r="E28" s="1" t="s">
        <v>449</v>
      </c>
      <c r="F28" s="1" t="s">
        <v>450</v>
      </c>
      <c r="G28" s="1" t="s">
        <v>451</v>
      </c>
      <c r="H28" s="1" t="s">
        <v>452</v>
      </c>
      <c r="I28" s="1" t="s">
        <v>453</v>
      </c>
      <c r="J28" s="1" t="s">
        <v>454</v>
      </c>
      <c r="K28" s="1" t="s">
        <v>455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457</v>
      </c>
      <c r="B30" s="1" t="s">
        <v>458</v>
      </c>
      <c r="C30" s="1" t="s">
        <v>459</v>
      </c>
      <c r="D30" s="1" t="s">
        <v>460</v>
      </c>
      <c r="E30" s="1">
        <v>55.0</v>
      </c>
      <c r="F30" s="1" t="s">
        <v>461</v>
      </c>
      <c r="G30" s="1" t="s">
        <v>462</v>
      </c>
      <c r="H30" s="1" t="s">
        <v>463</v>
      </c>
      <c r="I30" s="1" t="s">
        <v>464</v>
      </c>
      <c r="J30" s="1" t="s">
        <v>465</v>
      </c>
      <c r="K30" s="1" t="s">
        <v>466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 t="s">
        <v>468</v>
      </c>
      <c r="C31" s="1" t="s">
        <v>469</v>
      </c>
      <c r="D31" s="1" t="s">
        <v>470</v>
      </c>
      <c r="E31" s="1" t="s">
        <v>471</v>
      </c>
      <c r="F31" s="1" t="s">
        <v>472</v>
      </c>
      <c r="G31" s="1" t="s">
        <v>473</v>
      </c>
      <c r="H31" s="1" t="s">
        <v>474</v>
      </c>
      <c r="I31" s="1" t="s">
        <v>475</v>
      </c>
      <c r="J31" s="1" t="s">
        <v>476</v>
      </c>
      <c r="K31" s="1" t="s">
        <v>477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478</v>
      </c>
      <c r="B32" s="1" t="s">
        <v>458</v>
      </c>
      <c r="C32" s="1" t="s">
        <v>459</v>
      </c>
      <c r="D32" s="1" t="s">
        <v>479</v>
      </c>
      <c r="E32" s="1">
        <v>55.0</v>
      </c>
      <c r="F32" s="1" t="s">
        <v>480</v>
      </c>
      <c r="G32" s="1" t="s">
        <v>481</v>
      </c>
      <c r="H32" s="1" t="s">
        <v>482</v>
      </c>
      <c r="I32" s="1" t="s">
        <v>483</v>
      </c>
      <c r="J32" s="1" t="s">
        <v>484</v>
      </c>
      <c r="K32" s="1" t="s">
        <v>485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486</v>
      </c>
      <c r="B33" s="1" t="s">
        <v>468</v>
      </c>
      <c r="C33" s="1" t="s">
        <v>469</v>
      </c>
      <c r="D33" s="1" t="s">
        <v>487</v>
      </c>
      <c r="E33" s="1" t="s">
        <v>471</v>
      </c>
      <c r="F33" s="1" t="s">
        <v>488</v>
      </c>
      <c r="G33" s="1" t="s">
        <v>489</v>
      </c>
      <c r="H33" s="1" t="s">
        <v>490</v>
      </c>
      <c r="I33" s="1" t="s">
        <v>491</v>
      </c>
      <c r="J33" s="1" t="s">
        <v>492</v>
      </c>
      <c r="K33" s="1" t="s">
        <v>493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494</v>
      </c>
      <c r="B34" s="1" t="s">
        <v>495</v>
      </c>
      <c r="C34" s="1" t="s">
        <v>496</v>
      </c>
      <c r="D34" s="1" t="s">
        <v>497</v>
      </c>
      <c r="E34" s="1" t="s">
        <v>498</v>
      </c>
      <c r="F34" s="1" t="s">
        <v>499</v>
      </c>
      <c r="G34" s="1" t="s">
        <v>499</v>
      </c>
      <c r="H34" s="1" t="s">
        <v>500</v>
      </c>
      <c r="I34" s="1" t="s">
        <v>501</v>
      </c>
      <c r="J34" s="1" t="s">
        <v>502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 t="s">
        <v>505</v>
      </c>
      <c r="C35" s="1" t="s">
        <v>506</v>
      </c>
      <c r="D35" s="1" t="s">
        <v>507</v>
      </c>
      <c r="E35" s="1" t="s">
        <v>508</v>
      </c>
      <c r="F35" s="1" t="s">
        <v>509</v>
      </c>
      <c r="G35" s="1" t="s">
        <v>510</v>
      </c>
      <c r="H35" s="1" t="s">
        <v>242</v>
      </c>
      <c r="I35" s="1" t="s">
        <v>511</v>
      </c>
      <c r="J35" s="1" t="s">
        <v>426</v>
      </c>
      <c r="K35" s="1" t="s">
        <v>512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513</v>
      </c>
      <c r="B36" s="1" t="s">
        <v>514</v>
      </c>
      <c r="C36" s="1" t="s">
        <v>515</v>
      </c>
      <c r="D36" s="1" t="s">
        <v>516</v>
      </c>
      <c r="E36" s="1" t="s">
        <v>517</v>
      </c>
      <c r="F36" s="1" t="s">
        <v>518</v>
      </c>
      <c r="G36" s="1" t="s">
        <v>519</v>
      </c>
      <c r="H36" s="1" t="s">
        <v>520</v>
      </c>
      <c r="I36" s="1" t="s">
        <v>521</v>
      </c>
      <c r="J36" s="1" t="s">
        <v>522</v>
      </c>
      <c r="K36" s="1" t="s">
        <v>523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524</v>
      </c>
      <c r="B37" s="1" t="s">
        <v>525</v>
      </c>
      <c r="C37" s="1" t="s">
        <v>526</v>
      </c>
      <c r="D37" s="1" t="s">
        <v>527</v>
      </c>
      <c r="E37" s="1" t="s">
        <v>528</v>
      </c>
      <c r="F37" s="1" t="s">
        <v>529</v>
      </c>
      <c r="G37" s="1" t="s">
        <v>530</v>
      </c>
      <c r="H37" s="1" t="s">
        <v>531</v>
      </c>
      <c r="I37" s="1" t="s">
        <v>532</v>
      </c>
      <c r="J37" s="1" t="s">
        <v>533</v>
      </c>
      <c r="K37" s="1" t="s">
        <v>534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535</v>
      </c>
      <c r="B38" s="1" t="s">
        <v>536</v>
      </c>
      <c r="C38" s="1" t="s">
        <v>537</v>
      </c>
      <c r="D38" s="1" t="s">
        <v>538</v>
      </c>
      <c r="E38" s="1" t="s">
        <v>539</v>
      </c>
      <c r="F38" s="1" t="s">
        <v>540</v>
      </c>
      <c r="G38" s="1" t="s">
        <v>541</v>
      </c>
      <c r="H38" s="1" t="s">
        <v>542</v>
      </c>
      <c r="I38" s="1" t="s">
        <v>543</v>
      </c>
      <c r="J38" s="1" t="s">
        <v>544</v>
      </c>
      <c r="K38" s="1" t="s">
        <v>545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546</v>
      </c>
      <c r="B39" s="1" t="s">
        <v>547</v>
      </c>
      <c r="C39" s="1" t="s">
        <v>548</v>
      </c>
      <c r="D39" s="1" t="s">
        <v>247</v>
      </c>
      <c r="E39" s="1" t="s">
        <v>549</v>
      </c>
      <c r="F39" s="1" t="s">
        <v>419</v>
      </c>
      <c r="G39" s="1">
        <v>5.0</v>
      </c>
      <c r="H39" s="1" t="s">
        <v>550</v>
      </c>
      <c r="I39" s="1" t="s">
        <v>551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556</v>
      </c>
      <c r="D40" s="1" t="s">
        <v>557</v>
      </c>
      <c r="E40" s="1" t="s">
        <v>558</v>
      </c>
      <c r="F40" s="1" t="s">
        <v>559</v>
      </c>
      <c r="G40" s="1" t="s">
        <v>538</v>
      </c>
      <c r="H40" s="1" t="s">
        <v>560</v>
      </c>
      <c r="I40" s="1" t="s">
        <v>561</v>
      </c>
      <c r="J40" s="1" t="s">
        <v>562</v>
      </c>
      <c r="K40" s="1" t="s">
        <v>563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564</v>
      </c>
      <c r="B41" s="1" t="s">
        <v>565</v>
      </c>
      <c r="C41" s="1">
        <v>6.0</v>
      </c>
      <c r="D41" s="1" t="s">
        <v>566</v>
      </c>
      <c r="E41" s="1" t="s">
        <v>567</v>
      </c>
      <c r="F41" s="1" t="s">
        <v>568</v>
      </c>
      <c r="G41" s="1" t="s">
        <v>320</v>
      </c>
      <c r="H41" s="1" t="s">
        <v>569</v>
      </c>
      <c r="I41" s="1" t="s">
        <v>570</v>
      </c>
      <c r="J41" s="1" t="s">
        <v>571</v>
      </c>
      <c r="K41" s="1" t="s">
        <v>561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573</v>
      </c>
      <c r="B43" s="1" t="s">
        <v>574</v>
      </c>
      <c r="C43" s="1" t="s">
        <v>575</v>
      </c>
      <c r="D43" s="1" t="s">
        <v>576</v>
      </c>
      <c r="E43" s="1" t="s">
        <v>577</v>
      </c>
      <c r="F43" s="1" t="s">
        <v>578</v>
      </c>
      <c r="G43" s="1" t="s">
        <v>579</v>
      </c>
      <c r="H43" s="1" t="s">
        <v>580</v>
      </c>
      <c r="I43" s="1" t="s">
        <v>581</v>
      </c>
      <c r="J43" s="1" t="s">
        <v>582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585</v>
      </c>
      <c r="C44" s="1" t="s">
        <v>586</v>
      </c>
      <c r="D44" s="1" t="s">
        <v>587</v>
      </c>
      <c r="E44" s="1" t="s">
        <v>588</v>
      </c>
      <c r="F44" s="1" t="s">
        <v>589</v>
      </c>
      <c r="G44" s="1" t="s">
        <v>319</v>
      </c>
      <c r="H44" s="1" t="s">
        <v>590</v>
      </c>
      <c r="I44" s="1" t="s">
        <v>591</v>
      </c>
      <c r="J44" s="1" t="s">
        <v>592</v>
      </c>
      <c r="K44" s="1" t="s">
        <v>593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594</v>
      </c>
      <c r="B45" s="1" t="s">
        <v>595</v>
      </c>
      <c r="C45" s="1" t="s">
        <v>596</v>
      </c>
      <c r="D45" s="1" t="s">
        <v>597</v>
      </c>
      <c r="E45" s="1" t="s">
        <v>598</v>
      </c>
      <c r="F45" s="1" t="s">
        <v>599</v>
      </c>
      <c r="G45" s="1" t="s">
        <v>600</v>
      </c>
      <c r="H45" s="1" t="s">
        <v>601</v>
      </c>
      <c r="I45" s="1" t="s">
        <v>602</v>
      </c>
      <c r="J45" s="1" t="s">
        <v>603</v>
      </c>
      <c r="K45" s="1" t="s">
        <v>604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605</v>
      </c>
      <c r="B46" s="1" t="s">
        <v>606</v>
      </c>
      <c r="C46" s="1" t="s">
        <v>607</v>
      </c>
      <c r="D46" s="1" t="s">
        <v>608</v>
      </c>
      <c r="E46" s="1" t="s">
        <v>609</v>
      </c>
      <c r="F46" s="1" t="s">
        <v>610</v>
      </c>
      <c r="G46" s="1" t="s">
        <v>611</v>
      </c>
      <c r="H46" s="1" t="s">
        <v>612</v>
      </c>
      <c r="I46" s="1" t="s">
        <v>613</v>
      </c>
      <c r="J46" s="1" t="s">
        <v>614</v>
      </c>
      <c r="K46" s="1">
        <v>25.0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618</v>
      </c>
      <c r="E47" s="1" t="s">
        <v>619</v>
      </c>
      <c r="F47" s="1" t="s">
        <v>620</v>
      </c>
      <c r="G47" s="1" t="s">
        <v>621</v>
      </c>
      <c r="H47" s="1" t="s">
        <v>622</v>
      </c>
      <c r="I47" s="1" t="s">
        <v>623</v>
      </c>
      <c r="J47" s="1" t="s">
        <v>624</v>
      </c>
      <c r="K47" s="1" t="s">
        <v>625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626</v>
      </c>
      <c r="B48" s="1" t="s">
        <v>627</v>
      </c>
      <c r="C48" s="1" t="s">
        <v>628</v>
      </c>
      <c r="D48" s="1">
        <v>0.0</v>
      </c>
      <c r="E48" s="1" t="s">
        <v>629</v>
      </c>
      <c r="F48" s="1" t="s">
        <v>630</v>
      </c>
      <c r="G48" s="1" t="s">
        <v>631</v>
      </c>
      <c r="H48" s="1" t="s">
        <v>632</v>
      </c>
      <c r="I48" s="1" t="s">
        <v>633</v>
      </c>
      <c r="J48" s="1" t="s">
        <v>634</v>
      </c>
      <c r="K48" s="1" t="s">
        <v>635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636</v>
      </c>
      <c r="B49" s="1" t="s">
        <v>637</v>
      </c>
      <c r="C49" s="1" t="s">
        <v>638</v>
      </c>
      <c r="D49" s="1">
        <v>0.0</v>
      </c>
      <c r="E49" s="1" t="s">
        <v>629</v>
      </c>
      <c r="F49" s="1" t="s">
        <v>639</v>
      </c>
      <c r="G49" s="1" t="s">
        <v>640</v>
      </c>
      <c r="H49" s="1" t="s">
        <v>641</v>
      </c>
      <c r="I49" s="1" t="s">
        <v>642</v>
      </c>
      <c r="J49" s="1" t="s">
        <v>643</v>
      </c>
      <c r="K49" s="1" t="s">
        <v>644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645</v>
      </c>
      <c r="B50" s="1" t="s">
        <v>646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H50" s="1" t="s">
        <v>652</v>
      </c>
      <c r="I50" s="1">
        <v>0.0</v>
      </c>
      <c r="J50" s="1" t="s">
        <v>653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654</v>
      </c>
      <c r="B51" s="1">
        <v>280.0</v>
      </c>
      <c r="C51" s="1" t="s">
        <v>655</v>
      </c>
      <c r="D51" s="1">
        <v>0.0</v>
      </c>
      <c r="E51" s="1" t="s">
        <v>656</v>
      </c>
      <c r="F51" s="1">
        <v>-250.0</v>
      </c>
      <c r="G51" s="1">
        <v>-375.0</v>
      </c>
      <c r="H51" s="1" t="s">
        <v>657</v>
      </c>
      <c r="I51" s="1">
        <v>-500.0</v>
      </c>
      <c r="J51" s="1" t="s">
        <v>658</v>
      </c>
      <c r="K51" s="1" t="s">
        <v>659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660</v>
      </c>
      <c r="B52" s="1" t="s">
        <v>661</v>
      </c>
      <c r="C52" s="1" t="s">
        <v>662</v>
      </c>
      <c r="D52" s="1" t="s">
        <v>663</v>
      </c>
      <c r="E52" s="1" t="s">
        <v>664</v>
      </c>
      <c r="F52" s="1" t="s">
        <v>665</v>
      </c>
      <c r="G52" s="1" t="s">
        <v>666</v>
      </c>
      <c r="H52" s="1" t="s">
        <v>667</v>
      </c>
      <c r="I52" s="1" t="s">
        <v>668</v>
      </c>
      <c r="J52" s="1" t="s">
        <v>669</v>
      </c>
      <c r="K52" s="1" t="s">
        <v>670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671</v>
      </c>
      <c r="B53" s="1" t="s">
        <v>672</v>
      </c>
      <c r="C53" s="1" t="s">
        <v>673</v>
      </c>
      <c r="D53" s="1" t="s">
        <v>674</v>
      </c>
      <c r="E53" s="1" t="s">
        <v>675</v>
      </c>
      <c r="F53" s="1" t="s">
        <v>676</v>
      </c>
      <c r="G53" s="1" t="s">
        <v>677</v>
      </c>
      <c r="H53" s="1" t="s">
        <v>678</v>
      </c>
      <c r="I53" s="1" t="s">
        <v>679</v>
      </c>
      <c r="J53" s="1" t="s">
        <v>680</v>
      </c>
      <c r="K53" s="1" t="s">
        <v>681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682</v>
      </c>
      <c r="B54" s="1" t="s">
        <v>683</v>
      </c>
      <c r="C54" s="1" t="s">
        <v>684</v>
      </c>
      <c r="D54" s="1" t="s">
        <v>685</v>
      </c>
      <c r="E54" s="1" t="s">
        <v>686</v>
      </c>
      <c r="F54" s="1" t="s">
        <v>525</v>
      </c>
      <c r="G54" s="1" t="s">
        <v>687</v>
      </c>
      <c r="H54" s="1">
        <v>19.0</v>
      </c>
      <c r="I54" s="1" t="s">
        <v>688</v>
      </c>
      <c r="J54" s="1" t="s">
        <v>689</v>
      </c>
      <c r="K54" s="1" t="s">
        <v>690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691</v>
      </c>
      <c r="B55" s="1" t="s">
        <v>692</v>
      </c>
      <c r="C55" s="1">
        <v>0.0</v>
      </c>
      <c r="D55" s="1" t="s">
        <v>693</v>
      </c>
      <c r="E55" s="1" t="s">
        <v>694</v>
      </c>
      <c r="F55" s="1" t="s">
        <v>695</v>
      </c>
      <c r="G55" s="1" t="s">
        <v>696</v>
      </c>
      <c r="H55" s="1" t="s">
        <v>697</v>
      </c>
      <c r="I55" s="1" t="s">
        <v>698</v>
      </c>
      <c r="J55" s="1">
        <v>61.0</v>
      </c>
      <c r="K55" s="1" t="s">
        <v>699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700</v>
      </c>
      <c r="B56" s="1" t="s">
        <v>701</v>
      </c>
      <c r="C56" s="1" t="s">
        <v>702</v>
      </c>
      <c r="D56" s="1" t="s">
        <v>703</v>
      </c>
      <c r="E56" s="1" t="s">
        <v>543</v>
      </c>
      <c r="F56" s="1" t="s">
        <v>704</v>
      </c>
      <c r="G56" s="1" t="s">
        <v>705</v>
      </c>
      <c r="H56" s="1" t="s">
        <v>706</v>
      </c>
      <c r="I56" s="1" t="s">
        <v>565</v>
      </c>
      <c r="J56" s="1" t="s">
        <v>707</v>
      </c>
      <c r="K56" s="1" t="s">
        <v>708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709</v>
      </c>
      <c r="B57" s="1" t="s">
        <v>710</v>
      </c>
      <c r="C57" s="1" t="s">
        <v>711</v>
      </c>
      <c r="D57" s="1" t="s">
        <v>712</v>
      </c>
      <c r="E57" s="1" t="s">
        <v>713</v>
      </c>
      <c r="F57" s="1" t="s">
        <v>714</v>
      </c>
      <c r="G57" s="1" t="s">
        <v>715</v>
      </c>
      <c r="H57" s="1" t="s">
        <v>716</v>
      </c>
      <c r="I57" s="1" t="s">
        <v>717</v>
      </c>
      <c r="J57" s="1" t="s">
        <v>718</v>
      </c>
      <c r="K57" s="1" t="s">
        <v>719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720</v>
      </c>
      <c r="B58" s="1" t="s">
        <v>721</v>
      </c>
      <c r="C58" s="1" t="s">
        <v>722</v>
      </c>
      <c r="D58" s="1" t="s">
        <v>723</v>
      </c>
      <c r="E58" s="1">
        <v>7.0</v>
      </c>
      <c r="F58" s="1" t="s">
        <v>724</v>
      </c>
      <c r="G58" s="1" t="s">
        <v>725</v>
      </c>
      <c r="H58" s="1" t="s">
        <v>726</v>
      </c>
      <c r="I58" s="1" t="s">
        <v>727</v>
      </c>
      <c r="J58" s="1" t="s">
        <v>728</v>
      </c>
      <c r="K58" s="1" t="s">
        <v>729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730</v>
      </c>
      <c r="B59" s="1" t="s">
        <v>731</v>
      </c>
      <c r="C59" s="1" t="s">
        <v>732</v>
      </c>
      <c r="D59" s="1" t="s">
        <v>733</v>
      </c>
      <c r="E59" s="1" t="s">
        <v>734</v>
      </c>
      <c r="F59" s="1" t="s">
        <v>735</v>
      </c>
      <c r="G59" s="1" t="s">
        <v>736</v>
      </c>
      <c r="H59" s="1" t="s">
        <v>737</v>
      </c>
      <c r="I59" s="1" t="s">
        <v>738</v>
      </c>
      <c r="J59" s="1" t="s">
        <v>739</v>
      </c>
      <c r="K59" s="1" t="s">
        <v>740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741</v>
      </c>
      <c r="B60" s="1" t="s">
        <v>742</v>
      </c>
      <c r="C60" s="1" t="s">
        <v>743</v>
      </c>
      <c r="D60" s="1" t="s">
        <v>744</v>
      </c>
      <c r="E60" s="1" t="s">
        <v>745</v>
      </c>
      <c r="F60" s="1" t="s">
        <v>746</v>
      </c>
      <c r="G60" s="1" t="s">
        <v>747</v>
      </c>
      <c r="H60" s="1" t="s">
        <v>748</v>
      </c>
      <c r="I60" s="1" t="s">
        <v>749</v>
      </c>
      <c r="J60" s="1" t="s">
        <v>750</v>
      </c>
      <c r="K60" s="1" t="s">
        <v>751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753</v>
      </c>
      <c r="B62" s="1" t="s">
        <v>754</v>
      </c>
      <c r="C62" s="1" t="s">
        <v>755</v>
      </c>
      <c r="D62" s="1" t="s">
        <v>756</v>
      </c>
      <c r="E62" s="1" t="s">
        <v>757</v>
      </c>
      <c r="F62" s="1" t="s">
        <v>758</v>
      </c>
      <c r="G62" s="1" t="s">
        <v>759</v>
      </c>
      <c r="H62" s="1" t="s">
        <v>760</v>
      </c>
      <c r="I62" s="1" t="s">
        <v>761</v>
      </c>
      <c r="J62" s="1" t="s">
        <v>762</v>
      </c>
      <c r="K62" s="1" t="s">
        <v>506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763</v>
      </c>
      <c r="B63" s="1" t="s">
        <v>764</v>
      </c>
      <c r="C63" s="1" t="s">
        <v>765</v>
      </c>
      <c r="D63" s="1" t="s">
        <v>766</v>
      </c>
      <c r="E63" s="1" t="s">
        <v>767</v>
      </c>
      <c r="F63" s="1" t="s">
        <v>768</v>
      </c>
      <c r="G63" s="1" t="s">
        <v>769</v>
      </c>
      <c r="H63" s="1" t="s">
        <v>770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 t="s">
        <v>776</v>
      </c>
      <c r="D64" s="1" t="s">
        <v>777</v>
      </c>
      <c r="E64" s="1" t="s">
        <v>778</v>
      </c>
      <c r="F64" s="1" t="s">
        <v>779</v>
      </c>
      <c r="G64" s="1" t="s">
        <v>780</v>
      </c>
      <c r="H64" s="1" t="s">
        <v>781</v>
      </c>
      <c r="I64" s="1" t="s">
        <v>782</v>
      </c>
      <c r="J64" s="1" t="s">
        <v>783</v>
      </c>
      <c r="K64" s="1" t="s">
        <v>784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785</v>
      </c>
      <c r="B65" s="1" t="s">
        <v>786</v>
      </c>
      <c r="C65" s="1" t="s">
        <v>787</v>
      </c>
      <c r="D65" s="1" t="s">
        <v>788</v>
      </c>
      <c r="E65" s="1" t="s">
        <v>789</v>
      </c>
      <c r="F65" s="1" t="s">
        <v>790</v>
      </c>
      <c r="G65" s="1" t="s">
        <v>791</v>
      </c>
      <c r="H65" s="1" t="s">
        <v>792</v>
      </c>
      <c r="I65" s="1" t="s">
        <v>793</v>
      </c>
      <c r="J65" s="1" t="s">
        <v>794</v>
      </c>
      <c r="K65" s="1" t="s">
        <v>795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796</v>
      </c>
      <c r="B66" s="1" t="s">
        <v>797</v>
      </c>
      <c r="C66" s="1" t="s">
        <v>798</v>
      </c>
      <c r="D66" s="1" t="s">
        <v>799</v>
      </c>
      <c r="E66" s="1" t="s">
        <v>800</v>
      </c>
      <c r="F66" s="1" t="s">
        <v>801</v>
      </c>
      <c r="G66" s="1" t="s">
        <v>802</v>
      </c>
      <c r="H66" s="1" t="s">
        <v>803</v>
      </c>
      <c r="I66" s="1" t="s">
        <v>804</v>
      </c>
      <c r="J66" s="1" t="s">
        <v>805</v>
      </c>
      <c r="K66" s="1" t="s">
        <v>806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807</v>
      </c>
      <c r="B67" s="1" t="s">
        <v>808</v>
      </c>
      <c r="C67" s="1" t="s">
        <v>809</v>
      </c>
      <c r="D67" s="1" t="s">
        <v>810</v>
      </c>
      <c r="E67" s="1" t="s">
        <v>811</v>
      </c>
      <c r="F67" s="1" t="s">
        <v>812</v>
      </c>
      <c r="G67" s="1" t="s">
        <v>813</v>
      </c>
      <c r="H67" s="1" t="s">
        <v>814</v>
      </c>
      <c r="I67" s="1" t="s">
        <v>815</v>
      </c>
      <c r="J67" s="1" t="s">
        <v>816</v>
      </c>
      <c r="K67" s="1" t="s">
        <v>817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818</v>
      </c>
      <c r="B68" s="1" t="s">
        <v>819</v>
      </c>
      <c r="C68" s="1" t="s">
        <v>809</v>
      </c>
      <c r="D68" s="1">
        <v>98.0</v>
      </c>
      <c r="E68" s="1" t="s">
        <v>811</v>
      </c>
      <c r="F68" s="1" t="s">
        <v>820</v>
      </c>
      <c r="G68" s="1" t="s">
        <v>821</v>
      </c>
      <c r="H68" s="1" t="s">
        <v>822</v>
      </c>
      <c r="I68" s="1" t="s">
        <v>823</v>
      </c>
      <c r="J68" s="1" t="s">
        <v>824</v>
      </c>
      <c r="K68" s="1" t="s">
        <v>825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826</v>
      </c>
      <c r="B69" s="1" t="s">
        <v>827</v>
      </c>
      <c r="C69" s="1" t="s">
        <v>828</v>
      </c>
      <c r="D69" s="1" t="s">
        <v>829</v>
      </c>
      <c r="E69" s="1" t="s">
        <v>830</v>
      </c>
      <c r="F69" s="1" t="s">
        <v>831</v>
      </c>
      <c r="G69" s="1" t="s">
        <v>832</v>
      </c>
      <c r="H69" s="1" t="s">
        <v>833</v>
      </c>
      <c r="I69" s="1" t="s">
        <v>834</v>
      </c>
      <c r="J69" s="1" t="s">
        <v>835</v>
      </c>
      <c r="K69" s="1" t="s">
        <v>836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837</v>
      </c>
      <c r="B70" s="1" t="s">
        <v>838</v>
      </c>
      <c r="C70" s="1" t="s">
        <v>839</v>
      </c>
      <c r="D70" s="1" t="s">
        <v>840</v>
      </c>
      <c r="E70" s="1" t="s">
        <v>783</v>
      </c>
      <c r="F70" s="1" t="s">
        <v>841</v>
      </c>
      <c r="G70" s="1" t="s">
        <v>842</v>
      </c>
      <c r="H70" s="1" t="s">
        <v>843</v>
      </c>
      <c r="I70" s="1" t="s">
        <v>844</v>
      </c>
      <c r="J70" s="1" t="s">
        <v>845</v>
      </c>
      <c r="K70" s="1" t="s">
        <v>846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847</v>
      </c>
      <c r="B71" s="1" t="s">
        <v>848</v>
      </c>
      <c r="C71" s="1" t="s">
        <v>849</v>
      </c>
      <c r="D71" s="1" t="s">
        <v>850</v>
      </c>
      <c r="E71" s="1" t="s">
        <v>851</v>
      </c>
      <c r="F71" s="1" t="s">
        <v>852</v>
      </c>
      <c r="G71" s="1" t="s">
        <v>853</v>
      </c>
      <c r="H71" s="1" t="s">
        <v>854</v>
      </c>
      <c r="I71" s="1" t="s">
        <v>758</v>
      </c>
      <c r="J71" s="1" t="s">
        <v>403</v>
      </c>
      <c r="K71" s="1" t="s">
        <v>855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856</v>
      </c>
      <c r="B72" s="1" t="s">
        <v>857</v>
      </c>
      <c r="C72" s="1" t="s">
        <v>858</v>
      </c>
      <c r="D72" s="1" t="s">
        <v>859</v>
      </c>
      <c r="E72" s="1" t="s">
        <v>860</v>
      </c>
      <c r="F72" s="1" t="s">
        <v>861</v>
      </c>
      <c r="G72" s="1" t="s">
        <v>862</v>
      </c>
      <c r="H72" s="1" t="s">
        <v>863</v>
      </c>
      <c r="I72" s="1" t="s">
        <v>864</v>
      </c>
      <c r="J72" s="1" t="s">
        <v>865</v>
      </c>
      <c r="K72" s="1" t="s">
        <v>866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867</v>
      </c>
      <c r="B73" s="1" t="s">
        <v>868</v>
      </c>
      <c r="C73" s="1" t="s">
        <v>869</v>
      </c>
      <c r="D73" s="1" t="s">
        <v>870</v>
      </c>
      <c r="E73" s="1" t="s">
        <v>871</v>
      </c>
      <c r="F73" s="1" t="s">
        <v>872</v>
      </c>
      <c r="G73" s="1" t="s">
        <v>873</v>
      </c>
      <c r="H73" s="1" t="s">
        <v>874</v>
      </c>
      <c r="I73" s="1" t="s">
        <v>875</v>
      </c>
      <c r="J73" s="1" t="s">
        <v>876</v>
      </c>
      <c r="K73" s="1" t="s">
        <v>877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878</v>
      </c>
      <c r="B74" s="1" t="s">
        <v>879</v>
      </c>
      <c r="C74" s="1" t="s">
        <v>880</v>
      </c>
      <c r="D74" s="1" t="s">
        <v>881</v>
      </c>
      <c r="E74" s="1" t="s">
        <v>882</v>
      </c>
      <c r="F74" s="1" t="s">
        <v>883</v>
      </c>
      <c r="G74" s="1" t="s">
        <v>500</v>
      </c>
      <c r="H74" s="1" t="s">
        <v>884</v>
      </c>
      <c r="I74" s="1" t="s">
        <v>885</v>
      </c>
      <c r="J74" s="1" t="s">
        <v>886</v>
      </c>
      <c r="K74" s="1" t="s">
        <v>887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888</v>
      </c>
      <c r="B75" s="1" t="s">
        <v>889</v>
      </c>
      <c r="C75" s="1" t="s">
        <v>890</v>
      </c>
      <c r="D75" s="1" t="s">
        <v>891</v>
      </c>
      <c r="E75" s="1" t="s">
        <v>892</v>
      </c>
      <c r="F75" s="1" t="s">
        <v>893</v>
      </c>
      <c r="G75" s="1" t="s">
        <v>894</v>
      </c>
      <c r="H75" s="1" t="s">
        <v>895</v>
      </c>
      <c r="I75" s="1" t="s">
        <v>520</v>
      </c>
      <c r="J75" s="1" t="s">
        <v>896</v>
      </c>
      <c r="K75" s="1" t="s">
        <v>897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898</v>
      </c>
      <c r="B76" s="1" t="s">
        <v>899</v>
      </c>
      <c r="C76" s="1" t="s">
        <v>900</v>
      </c>
      <c r="D76" s="1" t="s">
        <v>901</v>
      </c>
      <c r="E76" s="1" t="s">
        <v>902</v>
      </c>
      <c r="F76" s="1" t="s">
        <v>578</v>
      </c>
      <c r="G76" s="1" t="s">
        <v>241</v>
      </c>
      <c r="H76" s="1" t="s">
        <v>903</v>
      </c>
      <c r="I76" s="1" t="s">
        <v>904</v>
      </c>
      <c r="J76" s="1" t="s">
        <v>905</v>
      </c>
      <c r="K76" s="1" t="s">
        <v>906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907</v>
      </c>
      <c r="B77" s="1" t="s">
        <v>908</v>
      </c>
      <c r="C77" s="1" t="s">
        <v>909</v>
      </c>
      <c r="D77" s="1" t="s">
        <v>910</v>
      </c>
      <c r="E77" s="1" t="s">
        <v>911</v>
      </c>
      <c r="F77" s="1" t="s">
        <v>912</v>
      </c>
      <c r="G77" s="1" t="s">
        <v>913</v>
      </c>
      <c r="H77" s="1" t="s">
        <v>914</v>
      </c>
      <c r="I77" s="1" t="s">
        <v>915</v>
      </c>
      <c r="J77" s="1" t="s">
        <v>916</v>
      </c>
      <c r="K77" s="1" t="s">
        <v>917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918</v>
      </c>
      <c r="B78" s="1" t="s">
        <v>919</v>
      </c>
      <c r="C78" s="1" t="s">
        <v>920</v>
      </c>
      <c r="D78" s="1" t="s">
        <v>921</v>
      </c>
      <c r="E78" s="1" t="s">
        <v>922</v>
      </c>
      <c r="F78" s="1" t="s">
        <v>923</v>
      </c>
      <c r="G78" s="1" t="s">
        <v>924</v>
      </c>
      <c r="H78" s="1" t="s">
        <v>925</v>
      </c>
      <c r="I78" s="1" t="s">
        <v>926</v>
      </c>
      <c r="J78" s="1" t="s">
        <v>927</v>
      </c>
      <c r="K78" s="1" t="s">
        <v>928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929</v>
      </c>
      <c r="B79" s="1" t="s">
        <v>930</v>
      </c>
      <c r="C79" s="1">
        <v>38.0</v>
      </c>
      <c r="D79" s="1" t="s">
        <v>903</v>
      </c>
      <c r="E79" s="1" t="s">
        <v>931</v>
      </c>
      <c r="F79" s="1" t="s">
        <v>932</v>
      </c>
      <c r="G79" s="1" t="s">
        <v>933</v>
      </c>
      <c r="H79" s="1" t="s">
        <v>934</v>
      </c>
      <c r="I79" s="1" t="s">
        <v>935</v>
      </c>
      <c r="J79" s="1" t="s">
        <v>936</v>
      </c>
      <c r="K79" s="1" t="s">
        <v>937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939</v>
      </c>
      <c r="B81" s="1" t="s">
        <v>940</v>
      </c>
      <c r="C81" s="1" t="s">
        <v>941</v>
      </c>
      <c r="D81" s="1" t="s">
        <v>942</v>
      </c>
      <c r="E81" s="1" t="s">
        <v>943</v>
      </c>
      <c r="F81" s="1" t="s">
        <v>944</v>
      </c>
      <c r="G81" s="1" t="s">
        <v>945</v>
      </c>
      <c r="H81" s="1" t="s">
        <v>946</v>
      </c>
      <c r="I81" s="1" t="s">
        <v>372</v>
      </c>
      <c r="J81" s="1" t="s">
        <v>947</v>
      </c>
      <c r="K81" s="1" t="s">
        <v>948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949</v>
      </c>
      <c r="B82" s="1" t="s">
        <v>950</v>
      </c>
      <c r="C82" s="1" t="s">
        <v>951</v>
      </c>
      <c r="D82" s="1" t="s">
        <v>952</v>
      </c>
      <c r="E82" s="1" t="s">
        <v>953</v>
      </c>
      <c r="F82" s="1" t="s">
        <v>954</v>
      </c>
      <c r="G82" s="1" t="s">
        <v>955</v>
      </c>
      <c r="H82" s="1" t="s">
        <v>956</v>
      </c>
      <c r="I82" s="1" t="s">
        <v>770</v>
      </c>
      <c r="J82" s="1" t="s">
        <v>522</v>
      </c>
      <c r="K82" s="1" t="s">
        <v>957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958</v>
      </c>
      <c r="B83" s="1" t="s">
        <v>959</v>
      </c>
      <c r="C83" s="1" t="s">
        <v>960</v>
      </c>
      <c r="D83" s="1" t="s">
        <v>961</v>
      </c>
      <c r="E83" s="1" t="s">
        <v>962</v>
      </c>
      <c r="F83" s="1" t="s">
        <v>963</v>
      </c>
      <c r="G83" s="1" t="s">
        <v>964</v>
      </c>
      <c r="H83" s="1" t="s">
        <v>965</v>
      </c>
      <c r="I83" s="1" t="s">
        <v>966</v>
      </c>
      <c r="J83" s="1" t="s">
        <v>967</v>
      </c>
      <c r="K83" s="1" t="s">
        <v>968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969</v>
      </c>
      <c r="B84" s="1" t="s">
        <v>970</v>
      </c>
      <c r="C84" s="1" t="s">
        <v>971</v>
      </c>
      <c r="D84" s="1" t="s">
        <v>972</v>
      </c>
      <c r="E84" s="1" t="s">
        <v>973</v>
      </c>
      <c r="F84" s="1" t="s">
        <v>974</v>
      </c>
      <c r="G84" s="1" t="s">
        <v>975</v>
      </c>
      <c r="H84" s="1" t="s">
        <v>976</v>
      </c>
      <c r="I84" s="1" t="s">
        <v>977</v>
      </c>
      <c r="J84" s="1" t="s">
        <v>978</v>
      </c>
      <c r="K84" s="1" t="s">
        <v>979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980</v>
      </c>
      <c r="B85" s="1" t="s">
        <v>981</v>
      </c>
      <c r="C85" s="1" t="s">
        <v>982</v>
      </c>
      <c r="D85" s="1" t="s">
        <v>983</v>
      </c>
      <c r="E85" s="1" t="s">
        <v>984</v>
      </c>
      <c r="F85" s="1" t="s">
        <v>985</v>
      </c>
      <c r="G85" s="1" t="s">
        <v>986</v>
      </c>
      <c r="H85" s="1" t="s">
        <v>987</v>
      </c>
      <c r="I85" s="1" t="s">
        <v>988</v>
      </c>
      <c r="J85" s="1">
        <v>-21.0</v>
      </c>
      <c r="K85" s="1" t="s">
        <v>989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990</v>
      </c>
      <c r="B86" s="1" t="s">
        <v>991</v>
      </c>
      <c r="C86" s="1" t="s">
        <v>992</v>
      </c>
      <c r="D86" s="1" t="s">
        <v>993</v>
      </c>
      <c r="E86" s="1" t="s">
        <v>994</v>
      </c>
      <c r="F86" s="1" t="s">
        <v>995</v>
      </c>
      <c r="G86" s="1" t="s">
        <v>996</v>
      </c>
      <c r="H86" s="1" t="s">
        <v>116</v>
      </c>
      <c r="I86" s="1" t="s">
        <v>997</v>
      </c>
      <c r="J86" s="1" t="s">
        <v>998</v>
      </c>
      <c r="K86" s="1" t="s">
        <v>999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1000</v>
      </c>
      <c r="B87" s="1" t="s">
        <v>1001</v>
      </c>
      <c r="C87" s="1" t="s">
        <v>992</v>
      </c>
      <c r="D87" s="1" t="s">
        <v>993</v>
      </c>
      <c r="E87" s="1" t="s">
        <v>1002</v>
      </c>
      <c r="F87" s="1" t="s">
        <v>1003</v>
      </c>
      <c r="G87" s="1" t="s">
        <v>1004</v>
      </c>
      <c r="H87" s="1" t="s">
        <v>1005</v>
      </c>
      <c r="I87" s="1" t="s">
        <v>1006</v>
      </c>
      <c r="J87" s="1" t="s">
        <v>1007</v>
      </c>
      <c r="K87" s="1" t="s">
        <v>1008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1009</v>
      </c>
      <c r="B88" s="1" t="s">
        <v>1010</v>
      </c>
      <c r="C88" s="1" t="s">
        <v>1011</v>
      </c>
      <c r="D88" s="1" t="s">
        <v>1012</v>
      </c>
      <c r="E88" s="1" t="s">
        <v>1013</v>
      </c>
      <c r="F88" s="1" t="s">
        <v>1014</v>
      </c>
      <c r="G88" s="1" t="s">
        <v>1015</v>
      </c>
      <c r="H88" s="1" t="s">
        <v>1016</v>
      </c>
      <c r="I88" s="1" t="s">
        <v>1017</v>
      </c>
      <c r="J88" s="1" t="s">
        <v>1018</v>
      </c>
      <c r="K88" s="1" t="s">
        <v>663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1019</v>
      </c>
      <c r="B89" s="1" t="s">
        <v>1020</v>
      </c>
      <c r="C89" s="1" t="s">
        <v>1021</v>
      </c>
      <c r="D89" s="1" t="s">
        <v>1022</v>
      </c>
      <c r="E89" s="1" t="s">
        <v>1023</v>
      </c>
      <c r="F89" s="1">
        <v>0.0</v>
      </c>
      <c r="G89" s="1" t="s">
        <v>1024</v>
      </c>
      <c r="H89" s="1" t="s">
        <v>1025</v>
      </c>
      <c r="I89" s="1" t="s">
        <v>1026</v>
      </c>
      <c r="J89" s="1" t="s">
        <v>1027</v>
      </c>
      <c r="K89" s="1" t="s">
        <v>1028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1029</v>
      </c>
      <c r="B90" s="1" t="s">
        <v>1030</v>
      </c>
      <c r="C90" s="1">
        <v>72.0</v>
      </c>
      <c r="D90" s="1" t="s">
        <v>1031</v>
      </c>
      <c r="E90" s="1" t="s">
        <v>1032</v>
      </c>
      <c r="F90" s="1" t="s">
        <v>1033</v>
      </c>
      <c r="G90" s="1" t="s">
        <v>1034</v>
      </c>
      <c r="H90" s="1" t="s">
        <v>1035</v>
      </c>
      <c r="I90" s="1" t="s">
        <v>1036</v>
      </c>
      <c r="J90" s="1" t="s">
        <v>1037</v>
      </c>
      <c r="K90" s="1" t="s">
        <v>759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1038</v>
      </c>
      <c r="B91" s="1" t="s">
        <v>1039</v>
      </c>
      <c r="C91" s="1" t="s">
        <v>1040</v>
      </c>
      <c r="D91" s="1" t="s">
        <v>1041</v>
      </c>
      <c r="E91" s="1" t="s">
        <v>1042</v>
      </c>
      <c r="F91" s="1" t="s">
        <v>1043</v>
      </c>
      <c r="G91" s="1" t="s">
        <v>1044</v>
      </c>
      <c r="H91" s="1" t="s">
        <v>1045</v>
      </c>
      <c r="I91" s="1" t="s">
        <v>1046</v>
      </c>
      <c r="J91" s="1" t="s">
        <v>250</v>
      </c>
      <c r="K91" s="1" t="s">
        <v>1047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1048</v>
      </c>
      <c r="B92" s="1" t="s">
        <v>1049</v>
      </c>
      <c r="C92" s="1" t="s">
        <v>1050</v>
      </c>
      <c r="D92" s="1" t="s">
        <v>1051</v>
      </c>
      <c r="E92" s="1" t="s">
        <v>1052</v>
      </c>
      <c r="F92" s="1" t="s">
        <v>1039</v>
      </c>
      <c r="G92" s="1" t="s">
        <v>1053</v>
      </c>
      <c r="H92" s="1" t="s">
        <v>1054</v>
      </c>
      <c r="I92" s="1" t="s">
        <v>1055</v>
      </c>
      <c r="J92" s="1" t="s">
        <v>534</v>
      </c>
      <c r="K92" s="1" t="s">
        <v>1056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1057</v>
      </c>
      <c r="B93" s="1" t="s">
        <v>1058</v>
      </c>
      <c r="C93" s="1" t="s">
        <v>1059</v>
      </c>
      <c r="D93" s="1" t="s">
        <v>1060</v>
      </c>
      <c r="E93" s="1" t="s">
        <v>1061</v>
      </c>
      <c r="F93" s="1" t="s">
        <v>1062</v>
      </c>
      <c r="G93" s="1" t="s">
        <v>1063</v>
      </c>
      <c r="H93" s="1" t="s">
        <v>895</v>
      </c>
      <c r="I93" s="1" t="s">
        <v>1064</v>
      </c>
      <c r="J93" s="1" t="s">
        <v>1065</v>
      </c>
      <c r="K93" s="1" t="s">
        <v>1066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1067</v>
      </c>
      <c r="B94" s="1" t="s">
        <v>1068</v>
      </c>
      <c r="C94" s="1" t="s">
        <v>623</v>
      </c>
      <c r="D94" s="1" t="s">
        <v>1069</v>
      </c>
      <c r="E94" s="1" t="s">
        <v>1070</v>
      </c>
      <c r="F94" s="1" t="s">
        <v>1071</v>
      </c>
      <c r="G94" s="1" t="s">
        <v>1072</v>
      </c>
      <c r="H94" s="1" t="s">
        <v>1073</v>
      </c>
      <c r="I94" s="1" t="s">
        <v>853</v>
      </c>
      <c r="J94" s="1" t="s">
        <v>1074</v>
      </c>
      <c r="K94" s="1" t="s">
        <v>1075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1076</v>
      </c>
      <c r="B95" s="1" t="s">
        <v>1077</v>
      </c>
      <c r="C95" s="1" t="s">
        <v>1078</v>
      </c>
      <c r="D95" s="1" t="s">
        <v>1079</v>
      </c>
      <c r="E95" s="1" t="s">
        <v>1080</v>
      </c>
      <c r="F95" s="1" t="s">
        <v>1081</v>
      </c>
      <c r="G95" s="1" t="s">
        <v>915</v>
      </c>
      <c r="H95" s="1" t="s">
        <v>1082</v>
      </c>
      <c r="I95" s="1" t="s">
        <v>756</v>
      </c>
      <c r="J95" s="1" t="s">
        <v>1083</v>
      </c>
      <c r="K95" s="1" t="s">
        <v>1084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1085</v>
      </c>
      <c r="B96" s="1" t="s">
        <v>1086</v>
      </c>
      <c r="C96" s="1" t="s">
        <v>1087</v>
      </c>
      <c r="D96" s="1" t="s">
        <v>1088</v>
      </c>
      <c r="E96" s="1" t="s">
        <v>1089</v>
      </c>
      <c r="F96" s="1" t="s">
        <v>1090</v>
      </c>
      <c r="G96" s="1" t="s">
        <v>1091</v>
      </c>
      <c r="H96" s="1" t="s">
        <v>1092</v>
      </c>
      <c r="I96" s="1" t="s">
        <v>1093</v>
      </c>
      <c r="J96" s="1" t="s">
        <v>1094</v>
      </c>
      <c r="K96" s="1" t="s">
        <v>1095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1096</v>
      </c>
      <c r="B97" s="1" t="s">
        <v>1097</v>
      </c>
      <c r="C97" s="1" t="s">
        <v>1098</v>
      </c>
      <c r="D97" s="1" t="s">
        <v>1099</v>
      </c>
      <c r="E97" s="1" t="s">
        <v>1100</v>
      </c>
      <c r="F97" s="1" t="s">
        <v>1101</v>
      </c>
      <c r="G97" s="1" t="s">
        <v>1102</v>
      </c>
      <c r="H97" s="1" t="s">
        <v>1103</v>
      </c>
      <c r="I97" s="1" t="s">
        <v>613</v>
      </c>
      <c r="J97" s="1" t="s">
        <v>1104</v>
      </c>
      <c r="K97" s="1" t="s">
        <v>1105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1106</v>
      </c>
      <c r="B98" s="1" t="s">
        <v>1107</v>
      </c>
      <c r="C98" s="1" t="s">
        <v>1108</v>
      </c>
      <c r="D98" s="1" t="s">
        <v>444</v>
      </c>
      <c r="E98" s="1" t="s">
        <v>390</v>
      </c>
      <c r="F98" s="1" t="s">
        <v>1109</v>
      </c>
      <c r="G98" s="1" t="s">
        <v>1110</v>
      </c>
      <c r="H98" s="1" t="s">
        <v>1111</v>
      </c>
      <c r="I98" s="1" t="s">
        <v>309</v>
      </c>
      <c r="J98" s="1" t="s">
        <v>1112</v>
      </c>
      <c r="K98" s="1" t="s">
        <v>1113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1115</v>
      </c>
      <c r="B100" s="1" t="s">
        <v>1116</v>
      </c>
      <c r="C100" s="1" t="s">
        <v>1117</v>
      </c>
      <c r="D100" s="1" t="s">
        <v>1118</v>
      </c>
      <c r="E100" s="1" t="s">
        <v>1119</v>
      </c>
      <c r="F100" s="1" t="s">
        <v>1053</v>
      </c>
      <c r="G100" s="1" t="s">
        <v>1120</v>
      </c>
      <c r="H100" s="1" t="s">
        <v>1121</v>
      </c>
      <c r="I100" s="1" t="s">
        <v>1110</v>
      </c>
      <c r="J100" s="1" t="s">
        <v>1122</v>
      </c>
      <c r="K100" s="1" t="s">
        <v>1123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 t="s">
        <v>1125</v>
      </c>
      <c r="C101" s="1" t="s">
        <v>1126</v>
      </c>
      <c r="D101" s="1" t="s">
        <v>1127</v>
      </c>
      <c r="E101" s="1" t="s">
        <v>1128</v>
      </c>
      <c r="F101" s="1" t="s">
        <v>1129</v>
      </c>
      <c r="G101" s="1" t="s">
        <v>1130</v>
      </c>
      <c r="H101" s="1" t="s">
        <v>1131</v>
      </c>
      <c r="I101" s="1" t="s">
        <v>1132</v>
      </c>
      <c r="J101" s="1" t="s">
        <v>1133</v>
      </c>
      <c r="K101" s="1" t="s">
        <v>1134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1135</v>
      </c>
      <c r="B102" s="1" t="s">
        <v>1136</v>
      </c>
      <c r="C102" s="1" t="s">
        <v>1137</v>
      </c>
      <c r="D102" s="1" t="s">
        <v>1138</v>
      </c>
      <c r="E102" s="1" t="s">
        <v>1139</v>
      </c>
      <c r="F102" s="1" t="s">
        <v>1140</v>
      </c>
      <c r="G102" s="1" t="s">
        <v>1141</v>
      </c>
      <c r="H102" s="1" t="s">
        <v>1142</v>
      </c>
      <c r="I102" s="1" t="s">
        <v>443</v>
      </c>
      <c r="J102" s="1" t="s">
        <v>1143</v>
      </c>
      <c r="K102" s="1" t="s">
        <v>1144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1145</v>
      </c>
      <c r="B103" s="1" t="s">
        <v>1146</v>
      </c>
      <c r="C103" s="1" t="s">
        <v>1147</v>
      </c>
      <c r="D103" s="1" t="s">
        <v>1148</v>
      </c>
      <c r="E103" s="1" t="s">
        <v>1149</v>
      </c>
      <c r="F103" s="1" t="s">
        <v>1150</v>
      </c>
      <c r="G103" s="1" t="s">
        <v>1151</v>
      </c>
      <c r="H103" s="1" t="s">
        <v>1152</v>
      </c>
      <c r="I103" s="1" t="s">
        <v>942</v>
      </c>
      <c r="J103" s="1" t="s">
        <v>1153</v>
      </c>
      <c r="K103" s="1" t="s">
        <v>1154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1155</v>
      </c>
      <c r="B104" s="1" t="s">
        <v>941</v>
      </c>
      <c r="C104" s="1" t="s">
        <v>1156</v>
      </c>
      <c r="D104" s="1" t="s">
        <v>1157</v>
      </c>
      <c r="E104" s="1" t="s">
        <v>1158</v>
      </c>
      <c r="F104" s="1" t="s">
        <v>1159</v>
      </c>
      <c r="G104" s="1" t="s">
        <v>1160</v>
      </c>
      <c r="H104" s="1" t="s">
        <v>1161</v>
      </c>
      <c r="I104" s="1" t="s">
        <v>1162</v>
      </c>
      <c r="J104" s="1" t="s">
        <v>1163</v>
      </c>
      <c r="K104" s="1" t="s">
        <v>1164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1165</v>
      </c>
      <c r="B105" s="1" t="s">
        <v>1166</v>
      </c>
      <c r="C105" s="1" t="s">
        <v>1167</v>
      </c>
      <c r="D105" s="1" t="s">
        <v>1168</v>
      </c>
      <c r="E105" s="1" t="s">
        <v>1169</v>
      </c>
      <c r="F105" s="1" t="s">
        <v>1170</v>
      </c>
      <c r="G105" s="1" t="s">
        <v>1171</v>
      </c>
      <c r="H105" s="1" t="s">
        <v>1172</v>
      </c>
      <c r="I105" s="1" t="s">
        <v>1173</v>
      </c>
      <c r="J105" s="1" t="s">
        <v>1174</v>
      </c>
      <c r="K105" s="1" t="s">
        <v>1175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1176</v>
      </c>
      <c r="B106" s="1" t="s">
        <v>1177</v>
      </c>
      <c r="C106" s="1" t="s">
        <v>1167</v>
      </c>
      <c r="D106" s="1" t="s">
        <v>1168</v>
      </c>
      <c r="E106" s="1" t="s">
        <v>1169</v>
      </c>
      <c r="F106" s="1" t="s">
        <v>1178</v>
      </c>
      <c r="G106" s="1" t="s">
        <v>1179</v>
      </c>
      <c r="H106" s="1" t="s">
        <v>1180</v>
      </c>
      <c r="I106" s="1" t="s">
        <v>1181</v>
      </c>
      <c r="J106" s="1" t="s">
        <v>1182</v>
      </c>
      <c r="K106" s="1" t="s">
        <v>1183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1184</v>
      </c>
      <c r="B107" s="1" t="s">
        <v>1185</v>
      </c>
      <c r="C107" s="1" t="s">
        <v>1006</v>
      </c>
      <c r="D107" s="1" t="s">
        <v>1186</v>
      </c>
      <c r="E107" s="1" t="s">
        <v>1187</v>
      </c>
      <c r="F107" s="1" t="s">
        <v>1188</v>
      </c>
      <c r="G107" s="1" t="s">
        <v>801</v>
      </c>
      <c r="H107" s="1">
        <v>-33.0</v>
      </c>
      <c r="I107" s="1" t="s">
        <v>1189</v>
      </c>
      <c r="J107" s="1" t="s">
        <v>1190</v>
      </c>
      <c r="K107" s="1" t="s">
        <v>1191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1192</v>
      </c>
      <c r="B108" s="1" t="s">
        <v>1193</v>
      </c>
      <c r="C108" s="1" t="s">
        <v>1194</v>
      </c>
      <c r="D108" s="1" t="s">
        <v>1195</v>
      </c>
      <c r="E108" s="1" t="s">
        <v>1196</v>
      </c>
      <c r="F108" s="1" t="s">
        <v>1197</v>
      </c>
      <c r="G108" s="1" t="s">
        <v>1198</v>
      </c>
      <c r="H108" s="1" t="s">
        <v>1199</v>
      </c>
      <c r="I108" s="1" t="s">
        <v>1200</v>
      </c>
      <c r="J108" s="1" t="s">
        <v>1201</v>
      </c>
      <c r="K108" s="1" t="s">
        <v>1202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1203</v>
      </c>
      <c r="B109" s="1" t="s">
        <v>280</v>
      </c>
      <c r="C109" s="1" t="s">
        <v>1204</v>
      </c>
      <c r="D109" s="1" t="s">
        <v>1205</v>
      </c>
      <c r="E109" s="1" t="s">
        <v>1206</v>
      </c>
      <c r="F109" s="1" t="s">
        <v>1207</v>
      </c>
      <c r="G109" s="1" t="s">
        <v>1208</v>
      </c>
      <c r="H109" s="1" t="s">
        <v>1209</v>
      </c>
      <c r="I109" s="1" t="s">
        <v>1210</v>
      </c>
      <c r="J109" s="1" t="s">
        <v>1211</v>
      </c>
      <c r="K109" s="1" t="s">
        <v>1212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1213</v>
      </c>
      <c r="B110" s="1" t="s">
        <v>1214</v>
      </c>
      <c r="C110" s="1" t="s">
        <v>1215</v>
      </c>
      <c r="D110" s="1" t="s">
        <v>1216</v>
      </c>
      <c r="E110" s="1" t="s">
        <v>1217</v>
      </c>
      <c r="F110" s="1" t="s">
        <v>1218</v>
      </c>
      <c r="G110" s="1" t="s">
        <v>1219</v>
      </c>
      <c r="H110" s="1" t="s">
        <v>1220</v>
      </c>
      <c r="I110" s="1" t="s">
        <v>1221</v>
      </c>
      <c r="J110" s="1" t="s">
        <v>1222</v>
      </c>
      <c r="K110" s="1" t="s">
        <v>1223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1224</v>
      </c>
      <c r="B111" s="1" t="s">
        <v>1225</v>
      </c>
      <c r="C111" s="1" t="s">
        <v>1226</v>
      </c>
      <c r="D111" s="1" t="s">
        <v>1227</v>
      </c>
      <c r="E111" s="1" t="s">
        <v>1228</v>
      </c>
      <c r="F111" s="1" t="s">
        <v>1229</v>
      </c>
      <c r="G111" s="1" t="s">
        <v>1230</v>
      </c>
      <c r="H111" s="1" t="s">
        <v>1131</v>
      </c>
      <c r="I111" s="1" t="s">
        <v>1231</v>
      </c>
      <c r="J111" s="1" t="s">
        <v>1232</v>
      </c>
      <c r="K111" s="1" t="s">
        <v>1233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1234</v>
      </c>
      <c r="B112" s="1" t="s">
        <v>1235</v>
      </c>
      <c r="C112" s="1" t="s">
        <v>1236</v>
      </c>
      <c r="D112" s="1" t="s">
        <v>1237</v>
      </c>
      <c r="E112" s="1" t="s">
        <v>1238</v>
      </c>
      <c r="F112" s="1" t="s">
        <v>1239</v>
      </c>
      <c r="G112" s="1" t="s">
        <v>1240</v>
      </c>
      <c r="H112" s="1" t="s">
        <v>309</v>
      </c>
      <c r="I112" s="1" t="s">
        <v>1241</v>
      </c>
      <c r="J112" s="1" t="s">
        <v>1242</v>
      </c>
      <c r="K112" s="1" t="s">
        <v>1243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1244</v>
      </c>
      <c r="B113" s="1" t="s">
        <v>1245</v>
      </c>
      <c r="C113" s="1" t="s">
        <v>1246</v>
      </c>
      <c r="D113" s="1" t="s">
        <v>1247</v>
      </c>
      <c r="E113" s="1" t="s">
        <v>1248</v>
      </c>
      <c r="F113" s="1" t="s">
        <v>1249</v>
      </c>
      <c r="G113" s="1" t="s">
        <v>1250</v>
      </c>
      <c r="H113" s="1" t="s">
        <v>1251</v>
      </c>
      <c r="I113" s="1" t="s">
        <v>1252</v>
      </c>
      <c r="J113" s="1" t="s">
        <v>1253</v>
      </c>
      <c r="K113" s="1" t="s">
        <v>1254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1255</v>
      </c>
      <c r="B114" s="1" t="s">
        <v>1256</v>
      </c>
      <c r="C114" s="1" t="s">
        <v>1257</v>
      </c>
      <c r="D114" s="1" t="s">
        <v>1258</v>
      </c>
      <c r="E114" s="1" t="s">
        <v>1259</v>
      </c>
      <c r="F114" s="1" t="s">
        <v>1260</v>
      </c>
      <c r="G114" s="1" t="s">
        <v>1261</v>
      </c>
      <c r="H114" s="1" t="s">
        <v>1262</v>
      </c>
      <c r="I114" s="1" t="s">
        <v>1263</v>
      </c>
      <c r="J114" s="1" t="s">
        <v>1264</v>
      </c>
      <c r="K114" s="1" t="s">
        <v>541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1265</v>
      </c>
      <c r="B115" s="1" t="s">
        <v>1266</v>
      </c>
      <c r="C115" s="1" t="s">
        <v>1267</v>
      </c>
      <c r="D115" s="1" t="s">
        <v>1268</v>
      </c>
      <c r="E115" s="1" t="s">
        <v>1269</v>
      </c>
      <c r="F115" s="1" t="s">
        <v>1270</v>
      </c>
      <c r="G115" s="1" t="s">
        <v>1271</v>
      </c>
      <c r="H115" s="1" t="s">
        <v>1272</v>
      </c>
      <c r="I115" s="1" t="s">
        <v>297</v>
      </c>
      <c r="J115" s="1" t="s">
        <v>864</v>
      </c>
      <c r="K115" s="1" t="s">
        <v>1273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1274</v>
      </c>
      <c r="B116" s="1" t="s">
        <v>1275</v>
      </c>
      <c r="C116" s="1" t="s">
        <v>1276</v>
      </c>
      <c r="D116" s="1" t="s">
        <v>1277</v>
      </c>
      <c r="E116" s="1" t="s">
        <v>1278</v>
      </c>
      <c r="F116" s="1" t="s">
        <v>1279</v>
      </c>
      <c r="G116" s="1" t="s">
        <v>1280</v>
      </c>
      <c r="H116" s="1" t="s">
        <v>1281</v>
      </c>
      <c r="I116" s="1" t="s">
        <v>1282</v>
      </c>
      <c r="J116" s="1" t="s">
        <v>1283</v>
      </c>
      <c r="K116" s="1" t="s">
        <v>689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1284</v>
      </c>
      <c r="B117" s="1" t="s">
        <v>1285</v>
      </c>
      <c r="C117" s="1" t="s">
        <v>1286</v>
      </c>
      <c r="D117" s="1" t="s">
        <v>1287</v>
      </c>
      <c r="E117" s="1" t="s">
        <v>1288</v>
      </c>
      <c r="F117" s="1" t="s">
        <v>1289</v>
      </c>
      <c r="G117" s="1" t="s">
        <v>1290</v>
      </c>
      <c r="H117" s="1" t="s">
        <v>1291</v>
      </c>
      <c r="I117" s="1" t="s">
        <v>1292</v>
      </c>
      <c r="J117" s="1" t="s">
        <v>1293</v>
      </c>
      <c r="K117" s="1" t="s">
        <v>1294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</cols>
  <sheetData>
    <row r="1">
      <c r="A1" s="1" t="s">
        <v>10</v>
      </c>
      <c r="B1" s="1" t="s">
        <v>1295</v>
      </c>
      <c r="C1" s="1" t="s">
        <v>1296</v>
      </c>
      <c r="D1" s="1" t="s">
        <v>1297</v>
      </c>
      <c r="E1" s="1" t="s">
        <v>1298</v>
      </c>
      <c r="F1" s="1" t="s">
        <v>1299</v>
      </c>
      <c r="G1" s="1" t="s">
        <v>1300</v>
      </c>
      <c r="H1" s="1" t="s">
        <v>1301</v>
      </c>
      <c r="I1" s="1" t="s">
        <v>1302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1303</v>
      </c>
      <c r="B2" s="1" t="s">
        <v>1304</v>
      </c>
      <c r="C2" s="1" t="s">
        <v>1305</v>
      </c>
      <c r="D2" s="1" t="s">
        <v>1306</v>
      </c>
      <c r="E2" s="1" t="s">
        <v>1307</v>
      </c>
      <c r="F2" s="1" t="s">
        <v>1308</v>
      </c>
      <c r="G2" s="1" t="s">
        <v>1309</v>
      </c>
      <c r="H2" s="1" t="s">
        <v>1310</v>
      </c>
      <c r="I2" s="1" t="s">
        <v>1310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1311</v>
      </c>
      <c r="B3" s="1" t="s">
        <v>1310</v>
      </c>
      <c r="C3" s="1" t="s">
        <v>1312</v>
      </c>
      <c r="D3" s="1" t="s">
        <v>1313</v>
      </c>
      <c r="E3" s="1" t="s">
        <v>1314</v>
      </c>
      <c r="F3" s="1" t="s">
        <v>1315</v>
      </c>
      <c r="G3" s="1" t="s">
        <v>1316</v>
      </c>
      <c r="H3" s="1" t="s">
        <v>1310</v>
      </c>
      <c r="I3" s="1" t="s">
        <v>1310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1317</v>
      </c>
      <c r="B4" s="1" t="s">
        <v>1318</v>
      </c>
      <c r="C4" s="1" t="s">
        <v>1319</v>
      </c>
      <c r="D4" s="1" t="s">
        <v>1320</v>
      </c>
      <c r="E4" s="1" t="s">
        <v>1321</v>
      </c>
      <c r="F4" s="1" t="s">
        <v>1322</v>
      </c>
      <c r="G4" s="1" t="s">
        <v>1323</v>
      </c>
      <c r="H4" s="1" t="s">
        <v>1324</v>
      </c>
      <c r="I4" s="1" t="s">
        <v>1325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1311</v>
      </c>
      <c r="B5" s="1" t="s">
        <v>1310</v>
      </c>
      <c r="C5" s="1" t="s">
        <v>1326</v>
      </c>
      <c r="D5" s="1" t="s">
        <v>1327</v>
      </c>
      <c r="E5" s="1" t="s">
        <v>1328</v>
      </c>
      <c r="F5" s="1" t="s">
        <v>1329</v>
      </c>
      <c r="G5" s="1" t="s">
        <v>1330</v>
      </c>
      <c r="H5" s="1" t="s">
        <v>1331</v>
      </c>
      <c r="I5" s="1" t="s">
        <v>1332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1333</v>
      </c>
      <c r="B6" s="1" t="s">
        <v>1334</v>
      </c>
      <c r="C6" s="1" t="s">
        <v>1335</v>
      </c>
      <c r="D6" s="1" t="s">
        <v>1336</v>
      </c>
      <c r="E6" s="1" t="s">
        <v>1337</v>
      </c>
      <c r="F6" s="1" t="s">
        <v>1338</v>
      </c>
      <c r="G6" s="1" t="s">
        <v>1339</v>
      </c>
      <c r="H6" s="1" t="s">
        <v>1340</v>
      </c>
      <c r="I6" s="1" t="s">
        <v>1341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1342</v>
      </c>
      <c r="B7" s="1" t="s">
        <v>1343</v>
      </c>
      <c r="C7" s="1" t="s">
        <v>1344</v>
      </c>
      <c r="D7" s="1" t="s">
        <v>1345</v>
      </c>
      <c r="E7" s="1" t="s">
        <v>1346</v>
      </c>
      <c r="F7" s="1" t="s">
        <v>1347</v>
      </c>
      <c r="G7" s="1" t="s">
        <v>1348</v>
      </c>
      <c r="H7" s="1" t="s">
        <v>1349</v>
      </c>
      <c r="I7" s="1" t="s">
        <v>1350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1351</v>
      </c>
      <c r="B8" s="1" t="s">
        <v>1310</v>
      </c>
      <c r="C8" s="1" t="s">
        <v>1352</v>
      </c>
      <c r="D8" s="1" t="s">
        <v>1353</v>
      </c>
      <c r="E8" s="1" t="s">
        <v>1354</v>
      </c>
      <c r="F8" s="1" t="s">
        <v>1355</v>
      </c>
      <c r="G8" s="1" t="s">
        <v>1356</v>
      </c>
      <c r="H8" s="1" t="s">
        <v>1355</v>
      </c>
      <c r="I8" s="1" t="s">
        <v>1357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1358</v>
      </c>
      <c r="B9" s="1" t="s">
        <v>1359</v>
      </c>
      <c r="C9" s="1" t="s">
        <v>1360</v>
      </c>
      <c r="D9" s="1" t="s">
        <v>1361</v>
      </c>
      <c r="E9" s="1" t="s">
        <v>1362</v>
      </c>
      <c r="F9" s="1" t="s">
        <v>1363</v>
      </c>
      <c r="G9" s="1" t="s">
        <v>1364</v>
      </c>
      <c r="H9" s="1" t="s">
        <v>1365</v>
      </c>
      <c r="I9" s="1" t="s">
        <v>1366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1367</v>
      </c>
      <c r="B10" s="1" t="s">
        <v>1368</v>
      </c>
      <c r="C10" s="1" t="s">
        <v>1369</v>
      </c>
      <c r="D10" s="1" t="s">
        <v>1370</v>
      </c>
      <c r="E10" s="1" t="s">
        <v>1371</v>
      </c>
      <c r="F10" s="1" t="s">
        <v>1372</v>
      </c>
      <c r="G10" s="1" t="s">
        <v>1373</v>
      </c>
      <c r="H10" s="1" t="s">
        <v>1374</v>
      </c>
      <c r="I10" s="1" t="s">
        <v>1375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1376</v>
      </c>
      <c r="B11" s="1" t="s">
        <v>1377</v>
      </c>
      <c r="C11" s="1" t="s">
        <v>1378</v>
      </c>
      <c r="D11" s="1" t="s">
        <v>1379</v>
      </c>
      <c r="E11" s="1" t="s">
        <v>1380</v>
      </c>
      <c r="F11" s="1" t="s">
        <v>1381</v>
      </c>
      <c r="G11" s="1" t="s">
        <v>1382</v>
      </c>
      <c r="H11" s="1" t="s">
        <v>1383</v>
      </c>
      <c r="I11" s="1" t="s">
        <v>1384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1385</v>
      </c>
      <c r="B12" s="1" t="s">
        <v>1386</v>
      </c>
      <c r="C12" s="1" t="s">
        <v>1387</v>
      </c>
      <c r="D12" s="1" t="s">
        <v>1388</v>
      </c>
      <c r="E12" s="1" t="s">
        <v>1389</v>
      </c>
      <c r="F12" s="1" t="s">
        <v>1390</v>
      </c>
      <c r="G12" s="1" t="s">
        <v>1388</v>
      </c>
      <c r="H12" s="1" t="s">
        <v>1391</v>
      </c>
      <c r="I12" s="1" t="s">
        <v>1310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1392</v>
      </c>
      <c r="B13" s="1" t="s">
        <v>1393</v>
      </c>
      <c r="C13" s="1" t="s">
        <v>1394</v>
      </c>
      <c r="D13" s="1" t="s">
        <v>1395</v>
      </c>
      <c r="E13" s="1" t="s">
        <v>1396</v>
      </c>
      <c r="F13" s="1" t="s">
        <v>1397</v>
      </c>
      <c r="G13" s="1" t="s">
        <v>1398</v>
      </c>
      <c r="H13" s="1" t="s">
        <v>1399</v>
      </c>
      <c r="I13" s="1" t="s">
        <v>1400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1401</v>
      </c>
      <c r="B14" s="1" t="s">
        <v>1402</v>
      </c>
      <c r="C14" s="1" t="s">
        <v>1403</v>
      </c>
      <c r="D14" s="1" t="s">
        <v>1404</v>
      </c>
      <c r="E14" s="1" t="s">
        <v>1405</v>
      </c>
      <c r="F14" s="1" t="s">
        <v>1406</v>
      </c>
      <c r="G14" s="1" t="s">
        <v>1407</v>
      </c>
      <c r="H14" s="1" t="s">
        <v>1408</v>
      </c>
      <c r="I14" s="1" t="s">
        <v>1409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1410</v>
      </c>
      <c r="B15" s="1" t="s">
        <v>1310</v>
      </c>
      <c r="C15" s="1" t="s">
        <v>1310</v>
      </c>
      <c r="D15" s="1" t="s">
        <v>1310</v>
      </c>
      <c r="E15" s="1" t="s">
        <v>1310</v>
      </c>
      <c r="F15" s="1" t="s">
        <v>1310</v>
      </c>
      <c r="G15" s="1" t="s">
        <v>1310</v>
      </c>
      <c r="H15" s="1" t="s">
        <v>1310</v>
      </c>
      <c r="I15" s="1" t="s">
        <v>1310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1411</v>
      </c>
      <c r="B16" s="1" t="s">
        <v>1310</v>
      </c>
      <c r="C16" s="1" t="s">
        <v>1310</v>
      </c>
      <c r="D16" s="1" t="s">
        <v>1310</v>
      </c>
      <c r="E16" s="1" t="s">
        <v>1310</v>
      </c>
      <c r="F16" s="1" t="s">
        <v>1310</v>
      </c>
      <c r="G16" s="1" t="s">
        <v>1310</v>
      </c>
      <c r="H16" s="1" t="s">
        <v>1310</v>
      </c>
      <c r="I16" s="1" t="s">
        <v>1310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1412</v>
      </c>
      <c r="B17" s="1" t="s">
        <v>174</v>
      </c>
      <c r="C17" s="1" t="s">
        <v>175</v>
      </c>
      <c r="D17" s="1" t="s">
        <v>176</v>
      </c>
      <c r="E17" s="1" t="s">
        <v>177</v>
      </c>
      <c r="F17" s="1" t="s">
        <v>178</v>
      </c>
      <c r="G17" s="1" t="s">
        <v>1413</v>
      </c>
      <c r="H17" s="1" t="s">
        <v>1414</v>
      </c>
      <c r="I17" s="1" t="s">
        <v>1415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1416</v>
      </c>
      <c r="B18" s="1" t="s">
        <v>1310</v>
      </c>
      <c r="C18" s="1" t="s">
        <v>1310</v>
      </c>
      <c r="D18" s="1" t="s">
        <v>1310</v>
      </c>
      <c r="E18" s="1" t="s">
        <v>1310</v>
      </c>
      <c r="F18" s="1" t="s">
        <v>1310</v>
      </c>
      <c r="G18" s="1" t="s">
        <v>1310</v>
      </c>
      <c r="H18" s="1" t="s">
        <v>1310</v>
      </c>
      <c r="I18" s="1" t="s">
        <v>1310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1417</v>
      </c>
      <c r="B19" s="1" t="s">
        <v>1418</v>
      </c>
      <c r="C19" s="1" t="s">
        <v>1419</v>
      </c>
      <c r="D19" s="1" t="s">
        <v>1420</v>
      </c>
      <c r="E19" s="1" t="s">
        <v>1421</v>
      </c>
      <c r="F19" s="1" t="s">
        <v>1422</v>
      </c>
      <c r="G19" s="1" t="s">
        <v>1423</v>
      </c>
      <c r="H19" s="1" t="s">
        <v>1424</v>
      </c>
      <c r="I19" s="1" t="s">
        <v>1425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1426</v>
      </c>
      <c r="B20" s="1" t="s">
        <v>1427</v>
      </c>
      <c r="C20" s="1" t="s">
        <v>1428</v>
      </c>
      <c r="D20" s="1" t="s">
        <v>1429</v>
      </c>
      <c r="E20" s="1" t="s">
        <v>1430</v>
      </c>
      <c r="F20" s="1" t="s">
        <v>1431</v>
      </c>
      <c r="G20" s="1" t="s">
        <v>1432</v>
      </c>
      <c r="H20" s="1" t="s">
        <v>1433</v>
      </c>
      <c r="I20" s="1" t="s">
        <v>1434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1435</v>
      </c>
      <c r="B21" s="1" t="s">
        <v>1436</v>
      </c>
      <c r="C21" s="1" t="s">
        <v>1437</v>
      </c>
      <c r="D21" s="1" t="s">
        <v>1438</v>
      </c>
      <c r="E21" s="1" t="s">
        <v>1439</v>
      </c>
      <c r="F21" s="1" t="s">
        <v>1440</v>
      </c>
      <c r="G21" s="1" t="s">
        <v>1441</v>
      </c>
      <c r="H21" s="1" t="s">
        <v>1442</v>
      </c>
      <c r="I21" s="1" t="s">
        <v>1310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1443</v>
      </c>
      <c r="B22" s="1" t="s">
        <v>1444</v>
      </c>
      <c r="C22" s="1" t="s">
        <v>1445</v>
      </c>
      <c r="D22" s="1" t="s">
        <v>1033</v>
      </c>
      <c r="E22" s="1" t="s">
        <v>1446</v>
      </c>
      <c r="F22" s="1" t="s">
        <v>1447</v>
      </c>
      <c r="G22" s="1" t="s">
        <v>1448</v>
      </c>
      <c r="H22" s="1" t="s">
        <v>1449</v>
      </c>
      <c r="I22" s="1" t="s">
        <v>1450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1451</v>
      </c>
      <c r="B23" s="1" t="s">
        <v>1452</v>
      </c>
      <c r="C23" s="1" t="s">
        <v>1453</v>
      </c>
      <c r="D23" s="1" t="s">
        <v>1454</v>
      </c>
      <c r="E23" s="1" t="s">
        <v>1455</v>
      </c>
      <c r="F23" s="1" t="s">
        <v>1456</v>
      </c>
      <c r="G23" s="1" t="s">
        <v>1457</v>
      </c>
      <c r="H23" s="1" t="s">
        <v>1458</v>
      </c>
      <c r="I23" s="1" t="s">
        <v>1459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1460</v>
      </c>
      <c r="B24" s="1" t="s">
        <v>1461</v>
      </c>
      <c r="C24" s="1" t="s">
        <v>1462</v>
      </c>
      <c r="D24" s="1" t="s">
        <v>1463</v>
      </c>
      <c r="E24" s="1" t="s">
        <v>1464</v>
      </c>
      <c r="F24" s="1" t="s">
        <v>1465</v>
      </c>
      <c r="G24" s="1" t="s">
        <v>1466</v>
      </c>
      <c r="H24" s="1" t="s">
        <v>1466</v>
      </c>
      <c r="I24" s="1" t="s">
        <v>1466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1467</v>
      </c>
      <c r="B25" s="1" t="s">
        <v>1468</v>
      </c>
      <c r="C25" s="1" t="s">
        <v>1469</v>
      </c>
      <c r="D25" s="1" t="s">
        <v>1470</v>
      </c>
      <c r="E25" s="1" t="s">
        <v>1471</v>
      </c>
      <c r="F25" s="1" t="s">
        <v>1472</v>
      </c>
      <c r="G25" s="1" t="s">
        <v>1473</v>
      </c>
      <c r="H25" s="1" t="s">
        <v>1310</v>
      </c>
      <c r="I25" s="1" t="s">
        <v>1310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1474</v>
      </c>
      <c r="B26" s="1" t="s">
        <v>1475</v>
      </c>
      <c r="C26" s="1" t="s">
        <v>1476</v>
      </c>
      <c r="D26" s="1" t="s">
        <v>1477</v>
      </c>
      <c r="E26" s="1" t="s">
        <v>1478</v>
      </c>
      <c r="F26" s="1" t="s">
        <v>1479</v>
      </c>
      <c r="G26" s="1" t="s">
        <v>1310</v>
      </c>
      <c r="H26" s="1" t="s">
        <v>1310</v>
      </c>
      <c r="I26" s="1" t="s">
        <v>1310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3">
        <v>1.0</v>
      </c>
      <c r="Y1" s="2"/>
      <c r="Z1" s="2"/>
    </row>
    <row r="2">
      <c r="A2" s="2"/>
      <c r="B2" s="14">
        <v>2014.0</v>
      </c>
      <c r="C2" s="14">
        <v>2015.0</v>
      </c>
      <c r="D2" s="14">
        <v>2016.0</v>
      </c>
      <c r="E2" s="14">
        <v>2017.0</v>
      </c>
      <c r="F2" s="14">
        <v>2018.0</v>
      </c>
      <c r="G2" s="14">
        <v>2019.0</v>
      </c>
      <c r="H2" s="14">
        <v>2020.0</v>
      </c>
      <c r="I2" s="14">
        <v>2021.0</v>
      </c>
      <c r="J2" s="14">
        <v>2022.0</v>
      </c>
      <c r="K2" s="14">
        <v>2023.0</v>
      </c>
      <c r="L2" s="14">
        <v>2024.0</v>
      </c>
      <c r="M2" s="14">
        <v>2025.0</v>
      </c>
      <c r="N2" s="14">
        <v>2026.0</v>
      </c>
      <c r="O2" s="14">
        <v>2027.0</v>
      </c>
      <c r="P2" s="14">
        <v>2028.0</v>
      </c>
      <c r="Q2" s="14">
        <v>2029.0</v>
      </c>
      <c r="R2" s="14">
        <v>2030.0</v>
      </c>
      <c r="S2" s="13">
        <v>2031.0</v>
      </c>
      <c r="T2" s="13">
        <v>2032.0</v>
      </c>
      <c r="U2" s="13">
        <v>2033.0</v>
      </c>
      <c r="V2" s="13">
        <v>2034.0</v>
      </c>
      <c r="W2" s="13">
        <v>2035.0</v>
      </c>
      <c r="X2" s="1"/>
      <c r="Y2" s="2"/>
      <c r="Z2" s="2"/>
    </row>
    <row r="3">
      <c r="A3" s="14" t="s">
        <v>51</v>
      </c>
      <c r="B3" s="1">
        <v>43.0</v>
      </c>
      <c r="C3" s="1">
        <v>56.0</v>
      </c>
      <c r="D3" s="1">
        <v>69.0</v>
      </c>
      <c r="E3" s="1">
        <v>90.0</v>
      </c>
      <c r="F3" s="1">
        <v>101.0</v>
      </c>
      <c r="G3" s="1">
        <v>109.0</v>
      </c>
      <c r="H3" s="1">
        <v>136.0</v>
      </c>
      <c r="I3" s="1">
        <v>145.0</v>
      </c>
      <c r="J3" s="1">
        <v>86.0</v>
      </c>
      <c r="K3" s="1">
        <v>84.0</v>
      </c>
      <c r="L3" s="1">
        <f>IF(K3*FORECAST(L2,B3:K3,B2:K2)&gt;0,FORECAST(L2,B3:K3,B2:K2),K3)*$X$1</f>
        <v>128.7333333</v>
      </c>
      <c r="M3" s="1">
        <f>IF(L3*FORECAST(M2,B3:L3,B2:L2)&gt;0,FORECAST(M2,B3:L3,B2:L2),L3)*$X$1</f>
        <v>135.430303</v>
      </c>
      <c r="N3" s="1">
        <f>IF(M3*FORECAST(N2,B3:M3,B2:M2)&gt;0,FORECAST(N2,B3:M3,B2:M2),M3)*$X$1</f>
        <v>142.1272727</v>
      </c>
      <c r="O3" s="1">
        <f>IF(N3*FORECAST(O2,B3:N3,B2:N2)&gt;0,FORECAST(O2,B3:N3,B2:N2),N3)*$X$1</f>
        <v>148.8242424</v>
      </c>
      <c r="P3" s="1">
        <f>IF(O3*FORECAST(P2,B3:O3,B2:O2)&gt;0,FORECAST(P2,B3:O3,B2:O2),O3)*$X$1</f>
        <v>155.5212121</v>
      </c>
      <c r="Q3" s="1">
        <f>IF(P3*FORECAST(Q2,B3:P3,B2:P2)&gt;0,FORECAST(Q2,B3:P3,B2:P2),P3)*$X$1</f>
        <v>162.2181818</v>
      </c>
      <c r="R3" s="1">
        <f>IF(Q3*FORECAST(R2,B3:Q3,B2:Q2)&gt;0,FORECAST(R2,B3:Q3,B2:Q2),Q3)*$X$1</f>
        <v>168.9151515</v>
      </c>
      <c r="S3" s="13">
        <f>IF(R3*FORECAST(S2,B3:R3,B2:R2)&gt;0,FORECAST(S2,B3:R3,B2:R2),R3)*$X$1</f>
        <v>175.6121212</v>
      </c>
      <c r="T3" s="13">
        <f>IF(S3*FORECAST(T2,B3:S3,B2:S2)&gt;0,FORECAST(T2,B3:S3,B2:S2),S3)*$X$1</f>
        <v>182.3090909</v>
      </c>
      <c r="U3" s="13">
        <f>IF(T3*FORECAST(U2,B3:T3,B2:T2)&gt;0,FORECAST(U2,B3:T3,B2:T2),T3)*$X$1</f>
        <v>189.0060606</v>
      </c>
      <c r="V3" s="13">
        <f>IF(U3*FORECAST(V2,B3:U3,B2:U2)&gt;0,FORECAST(V2,B3:U3,B2:U2),U3)*$X$1</f>
        <v>195.7030303</v>
      </c>
      <c r="W3" s="13">
        <f>IF(V3*FORECAST(W2,B3:V3,B2:V2)&gt;0,FORECAST(W2,B3:V3,B2:V2),V3)*$X$1</f>
        <v>202.4</v>
      </c>
      <c r="X3" s="2"/>
      <c r="Y3" s="2"/>
      <c r="Z3" s="2"/>
    </row>
    <row r="4">
      <c r="A4" s="14" t="s">
        <v>124</v>
      </c>
      <c r="B4" s="1">
        <v>-64.0</v>
      </c>
      <c r="C4" s="1">
        <v>248.0</v>
      </c>
      <c r="D4" s="1">
        <v>239.0</v>
      </c>
      <c r="E4" s="1">
        <v>180.0</v>
      </c>
      <c r="F4" s="1">
        <v>171.0</v>
      </c>
      <c r="G4" s="1">
        <v>585.0</v>
      </c>
      <c r="H4" s="1">
        <v>498.0</v>
      </c>
      <c r="I4" s="1">
        <v>537.0</v>
      </c>
      <c r="J4" s="1">
        <v>877.0</v>
      </c>
      <c r="K4" s="1">
        <v>899.0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4" t="s">
        <v>1480</v>
      </c>
      <c r="B5" s="1">
        <v>36.0</v>
      </c>
      <c r="C5" s="1">
        <v>38.0</v>
      </c>
      <c r="D5" s="1">
        <v>42.0</v>
      </c>
      <c r="E5" s="1">
        <v>43.0</v>
      </c>
      <c r="F5" s="1">
        <v>47.0</v>
      </c>
      <c r="G5" s="1">
        <v>50.0</v>
      </c>
      <c r="H5" s="1">
        <v>53.0</v>
      </c>
      <c r="I5" s="1">
        <v>55.0</v>
      </c>
      <c r="J5" s="1">
        <v>56.0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(1+0.02)/(0.0834-0.02)</f>
        <v>3256.277603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15">
        <f t="array" ref="L8">NPV(0.0834,M3:W3)</f>
        <v>1149.047936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15">
        <f t="array" ref="L9">NPV(0.0834,M16:W16)</f>
        <v>1349.100422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15">
        <f>L8 + L9</f>
        <v>2498.148359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899.0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15">
        <f>L10 - L11</f>
        <v>1599.148359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1487</v>
      </c>
      <c r="L14" s="15">
        <f>L12/L13</f>
        <v>29.6138585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13">
        <v>0.0</v>
      </c>
      <c r="U16" s="13">
        <v>0.0</v>
      </c>
      <c r="V16" s="13">
        <v>0.0</v>
      </c>
      <c r="W16" s="13">
        <f>IF(W3*FORECAST(W2,B3:W3,B2:W2)&gt;0,FORECAST(W2,B3:W3,B2:W2),V3)*$X$1 * (1+0.02)/(0.0834-0.02)</f>
        <v>3256.277603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13">
        <v>1.0</v>
      </c>
      <c r="Y1" s="2"/>
      <c r="Z1" s="2"/>
    </row>
    <row r="2">
      <c r="A2" s="2"/>
      <c r="B2" s="14">
        <v>2014.0</v>
      </c>
      <c r="C2" s="14">
        <v>2015.0</v>
      </c>
      <c r="D2" s="14">
        <v>2016.0</v>
      </c>
      <c r="E2" s="14">
        <v>2017.0</v>
      </c>
      <c r="F2" s="14">
        <v>2018.0</v>
      </c>
      <c r="G2" s="14">
        <v>2019.0</v>
      </c>
      <c r="H2" s="14">
        <v>2020.0</v>
      </c>
      <c r="I2" s="14">
        <v>2021.0</v>
      </c>
      <c r="J2" s="14">
        <v>2022.0</v>
      </c>
      <c r="K2" s="14">
        <v>2023.0</v>
      </c>
      <c r="L2" s="14">
        <v>2024.0</v>
      </c>
      <c r="M2" s="14">
        <v>2025.0</v>
      </c>
      <c r="N2" s="14">
        <v>2026.0</v>
      </c>
      <c r="O2" s="14">
        <v>2027.0</v>
      </c>
      <c r="P2" s="14">
        <v>2028.0</v>
      </c>
      <c r="Q2" s="14">
        <v>2029.0</v>
      </c>
      <c r="R2" s="14">
        <v>2030.0</v>
      </c>
      <c r="S2" s="13">
        <v>2031.0</v>
      </c>
      <c r="T2" s="13">
        <v>2032.0</v>
      </c>
      <c r="U2" s="13">
        <v>2033.0</v>
      </c>
      <c r="V2" s="13">
        <v>2034.0</v>
      </c>
      <c r="W2" s="13">
        <v>2035.0</v>
      </c>
      <c r="X2" s="1"/>
      <c r="Y2" s="2"/>
      <c r="Z2" s="2"/>
    </row>
    <row r="3">
      <c r="A3" s="14" t="s">
        <v>11</v>
      </c>
      <c r="B3" s="1">
        <v>13.0</v>
      </c>
      <c r="C3" s="1">
        <v>4.0</v>
      </c>
      <c r="D3" s="1">
        <v>-55.0</v>
      </c>
      <c r="E3" s="1">
        <v>-3.0</v>
      </c>
      <c r="F3" s="1">
        <v>4.0</v>
      </c>
      <c r="G3" s="1">
        <v>-17.0</v>
      </c>
      <c r="H3" s="1">
        <v>-2.0</v>
      </c>
      <c r="I3" s="1">
        <v>12.0</v>
      </c>
      <c r="J3" s="1">
        <v>-85.0</v>
      </c>
      <c r="K3" s="1">
        <v>-246.0</v>
      </c>
      <c r="L3" s="1">
        <f>IF(K3*FORECAST(L2,B3:K3,B2:K2)&gt;0,FORECAST(L2,B3:K3,B2:K2),K3)*$X$1</f>
        <v>-125.4</v>
      </c>
      <c r="M3" s="1">
        <f>IF(L3*FORECAST(M2,B3:L3,B2:L2)&gt;0,FORECAST(M2,B3:L3,B2:L2),L3)*$X$1</f>
        <v>-141.3818182</v>
      </c>
      <c r="N3" s="1">
        <f>IF(M3*FORECAST(N2,B3:M3,B2:M2)&gt;0,FORECAST(N2,B3:M3,B2:M2),M3)*$X$1</f>
        <v>-157.3636364</v>
      </c>
      <c r="O3" s="1">
        <f>IF(N3*FORECAST(O2,B3:N3,B2:N2)&gt;0,FORECAST(O2,B3:N3,B2:N2),N3)*$X$1</f>
        <v>-173.3454545</v>
      </c>
      <c r="P3" s="1">
        <f>IF(O3*FORECAST(P2,B3:O3,B2:O2)&gt;0,FORECAST(P2,B3:O3,B2:O2),O3)*$X$1</f>
        <v>-189.3272727</v>
      </c>
      <c r="Q3" s="1">
        <f>IF(P3*FORECAST(Q2,B3:P3,B2:P2)&gt;0,FORECAST(Q2,B3:P3,B2:P2),P3)*$X$1</f>
        <v>-205.3090909</v>
      </c>
      <c r="R3" s="1">
        <f>IF(Q3*FORECAST(R2,B3:Q3,B2:Q2)&gt;0,FORECAST(R2,B3:Q3,B2:Q2),Q3)*$X$1</f>
        <v>-221.2909091</v>
      </c>
      <c r="S3" s="13">
        <f>IF(R3*FORECAST(S2,B3:R3,B2:R2)&gt;0,FORECAST(S2,B3:R3,B2:R2),R3)*$X$1</f>
        <v>-237.2727273</v>
      </c>
      <c r="T3" s="13">
        <f>IF(S3*FORECAST(T2,B3:S3,B2:S2)&gt;0,FORECAST(T2,B3:S3,B2:S2),S3)*$X$1</f>
        <v>-253.2545455</v>
      </c>
      <c r="U3" s="13">
        <f>IF(T3*FORECAST(U2,B3:T3,B2:T2)&gt;0,FORECAST(U2,B3:T3,B2:T2),T3)*$X$1</f>
        <v>-269.2363636</v>
      </c>
      <c r="V3" s="13">
        <f>IF(U3*FORECAST(V2,B3:U3,B2:U2)&gt;0,FORECAST(V2,B3:U3,B2:U2),U3)*$X$1</f>
        <v>-285.2181818</v>
      </c>
      <c r="W3" s="13">
        <f>IF(V3*FORECAST(W2,B3:V3,B2:V2)&gt;0,FORECAST(W2,B3:V3,B2:V2),V3)*$X$1</f>
        <v>-301.2</v>
      </c>
      <c r="X3" s="2"/>
      <c r="Y3" s="2"/>
      <c r="Z3" s="2"/>
    </row>
    <row r="4">
      <c r="A4" s="14" t="s">
        <v>124</v>
      </c>
      <c r="B4" s="1">
        <v>-64.0</v>
      </c>
      <c r="C4" s="1">
        <v>248.0</v>
      </c>
      <c r="D4" s="1">
        <v>239.0</v>
      </c>
      <c r="E4" s="1">
        <v>180.0</v>
      </c>
      <c r="F4" s="1">
        <v>171.0</v>
      </c>
      <c r="G4" s="1">
        <v>585.0</v>
      </c>
      <c r="H4" s="1">
        <v>498.0</v>
      </c>
      <c r="I4" s="1">
        <v>537.0</v>
      </c>
      <c r="J4" s="1">
        <v>877.0</v>
      </c>
      <c r="K4" s="1">
        <v>899.0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4" t="s">
        <v>1480</v>
      </c>
      <c r="B5" s="1">
        <v>36.0</v>
      </c>
      <c r="C5" s="1">
        <v>38.0</v>
      </c>
      <c r="D5" s="1">
        <v>42.0</v>
      </c>
      <c r="E5" s="1">
        <v>43.0</v>
      </c>
      <c r="F5" s="1">
        <v>47.0</v>
      </c>
      <c r="G5" s="1">
        <v>50.0</v>
      </c>
      <c r="H5" s="1">
        <v>53.0</v>
      </c>
      <c r="I5" s="1">
        <v>55.0</v>
      </c>
      <c r="J5" s="1">
        <v>56.0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(1+0.02)/(0.0834-0.02)</f>
        <v>-4845.804416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15">
        <f t="array" ref="L8">NPV(0.0834,M3:W3)</f>
        <v>-1465.304156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15">
        <f t="array" ref="L9">NPV(0.0834,M16:W16)</f>
        <v>-2007.653395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15">
        <f>L8 + L9</f>
        <v>-3472.957552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899.0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15">
        <f>L10 - L11</f>
        <v>-4371.957552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1487</v>
      </c>
      <c r="L14" s="15">
        <f>L12/L13</f>
        <v>-80.96217689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13">
        <v>0.0</v>
      </c>
      <c r="U16" s="13">
        <v>0.0</v>
      </c>
      <c r="V16" s="13">
        <v>0.0</v>
      </c>
      <c r="W16" s="13">
        <f>IF(W3*FORECAST(W2,B3:W3,B2:W2)&gt;0,FORECAST(W2,B3:W3,B2:W2),V3)*$X$1 * (1+0.02)/(0.0834-0.02)</f>
        <v>-4845.804416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