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Q1" sheetId="2" r:id="rId5"/>
    <sheet state="visible" name="Cash Flow Statement" sheetId="3" r:id="rId6"/>
    <sheet state="visible" name="Balance Sheet" sheetId="4" r:id="rId7"/>
    <sheet state="visible" name="Financial" sheetId="5" r:id="rId8"/>
    <sheet state="visible" name="Ratios" sheetId="6" r:id="rId9"/>
    <sheet state="visible" name="Valuation" sheetId="7" r:id="rId10"/>
    <sheet state="visible" name="Complementary" sheetId="8" r:id="rId11"/>
    <sheet state="visible" name="DCF" sheetId="9" r:id="rId12"/>
    <sheet state="visible" name="December" sheetId="10" r:id="rId13"/>
    <sheet state="visible" name="DCF-NET" sheetId="11" r:id="rId14"/>
  </sheets>
  <definedNames/>
  <calcPr/>
</workbook>
</file>

<file path=xl/sharedStrings.xml><?xml version="1.0" encoding="utf-8"?>
<sst xmlns="http://schemas.openxmlformats.org/spreadsheetml/2006/main" count="1858" uniqueCount="1589">
  <si>
    <t>ticker</t>
  </si>
  <si>
    <t>AMN</t>
  </si>
  <si>
    <t>nombre</t>
  </si>
  <si>
    <t>AMN HEALTHCARE SERVICES I</t>
  </si>
  <si>
    <t>empresa</t>
  </si>
  <si>
    <t>Healthcare Facilities &amp; Services</t>
  </si>
  <si>
    <t>Open</t>
  </si>
  <si>
    <t>Target Price</t>
  </si>
  <si>
    <t>Upside</t>
  </si>
  <si>
    <t>1359.12%</t>
  </si>
  <si>
    <t>Country</t>
  </si>
  <si>
    <t>United States</t>
  </si>
  <si>
    <t>Market Cap</t>
  </si>
  <si>
    <t>Book Value</t>
  </si>
  <si>
    <t>Pe ratio</t>
  </si>
  <si>
    <t>Dividend Ratio</t>
  </si>
  <si>
    <t>No encontrado</t>
  </si>
  <si>
    <t>Ticker</t>
  </si>
  <si>
    <t>%</t>
  </si>
  <si>
    <t>EOY</t>
  </si>
  <si>
    <t>Median</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</si>
  <si>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</si>
  <si>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</si>
  <si>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</si>
  <si>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</si>
  <si>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</si>
  <si>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</si>
  <si>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</si>
  <si>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</si>
  <si>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Stock-Based Compensation (CF)</t>
  </si>
  <si>
    <t>Tax Benefit from Stock Options</t>
  </si>
  <si>
    <t>Provision and Write-off of Bad Debts</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</si>
  <si>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</si>
  <si>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</si>
  <si>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</si>
  <si>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</si>
  <si>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</si>
  <si>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</si>
  <si>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</si>
  <si>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</si>
  <si>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Cash Acquisitions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</si>
  <si>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</si>
  <si>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</si>
  <si>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</si>
  <si>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</si>
  <si>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</si>
  <si>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</si>
  <si>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</si>
  <si>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</si>
  <si>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</si>
  <si>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</si>
  <si>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</si>
  <si>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</si>
  <si>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</si>
  <si>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</si>
  <si>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</si>
  <si>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</si>
  <si>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</si>
  <si>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</si>
  <si>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</si>
  <si>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</si>
  <si>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</si>
  <si>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</si>
  <si>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</si>
  <si>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</si>
  <si>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</si>
  <si>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</si>
  <si>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</si>
  <si>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</si>
  <si>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</si>
  <si>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</si>
  <si>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</si>
  <si>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</si>
  <si>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</si>
  <si>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</si>
  <si>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</si>
  <si>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</si>
  <si>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</si>
  <si>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</si>
  <si>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</si>
  <si>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</si>
  <si>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</si>
  <si>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</si>
  <si>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</si>
  <si>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</si>
  <si>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</si>
  <si>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</si>
  <si>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</si>
  <si>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</si>
  <si>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</si>
  <si>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</si>
  <si>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</si>
  <si>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</si>
  <si>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</si>
  <si>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</si>
  <si>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</si>
  <si>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</si>
  <si>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</si>
  <si>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</si>
  <si>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</si>
  <si>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</si>
  <si>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</si>
  <si>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</si>
  <si>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</si>
  <si>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</si>
  <si>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</si>
  <si>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</si>
  <si>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</si>
  <si>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</si>
  <si>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</si>
  <si>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5.5</t>
  </si>
  <si>
    <t>7.29</t>
  </si>
  <si>
    <t>9.44</t>
  </si>
  <si>
    <t>11.85</t>
  </si>
  <si>
    <t>13.7</t>
  </si>
  <si>
    <t>15.77</t>
  </si>
  <si>
    <t>17.42</t>
  </si>
  <si>
    <t>24.59</t>
  </si>
  <si>
    <t>24.92</t>
  </si>
  <si>
    <t>21.99</t>
  </si>
  <si>
    <t>Tangible Book Value</t>
  </si>
  <si>
    <t>Tangible Book Value Per Share</t>
  </si>
  <si>
    <t>-1.08</t>
  </si>
  <si>
    <t>-0.67</t>
  </si>
  <si>
    <t>-2.9</t>
  </si>
  <si>
    <t>-0.11</t>
  </si>
  <si>
    <t>-2.69</t>
  </si>
  <si>
    <t>-5.51</t>
  </si>
  <si>
    <t>-12.96</t>
  </si>
  <si>
    <t>-5.18</t>
  </si>
  <si>
    <t>-8.8</t>
  </si>
  <si>
    <t>-19.95</t>
  </si>
  <si>
    <t>Total Debt</t>
  </si>
  <si>
    <t>Net Debt</t>
  </si>
  <si>
    <t>Debt Equivalent Oper. Leases</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</si>
  <si>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</si>
  <si>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</si>
  <si>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</si>
  <si>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</si>
  <si>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</si>
  <si>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</si>
  <si>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</si>
  <si>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</si>
  <si>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</si>
  <si>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</si>
  <si>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</si>
  <si>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</si>
  <si>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</si>
  <si>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Net Interest Expenses</t>
  </si>
  <si>
    <t>Income (Loss) On Equity Invest.</t>
  </si>
  <si>
    <t>Other Non Operating Income (Expenses)</t>
  </si>
  <si>
    <t>EBT, Excl. Unusual Items</t>
  </si>
  <si>
    <t>Merger &amp; Related Restructuring Charges</t>
  </si>
  <si>
    <t>Gain (Loss) On Sale Of Investments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</si>
  <si>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</si>
  <si>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</si>
  <si>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</si>
  <si>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</si>
  <si>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</si>
  <si>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</si>
  <si>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</si>
  <si>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</si>
  <si>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</si>
  <si>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</si>
  <si>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</si>
  <si>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0.71</t>
  </si>
  <si>
    <t>1.72</t>
  </si>
  <si>
    <t>2.21</t>
  </si>
  <si>
    <t>2.77</t>
  </si>
  <si>
    <t>2.99</t>
  </si>
  <si>
    <t>2.44</t>
  </si>
  <si>
    <t>1.49</t>
  </si>
  <si>
    <t>6.87</t>
  </si>
  <si>
    <t>9.96</t>
  </si>
  <si>
    <t>5.38</t>
  </si>
  <si>
    <t>Basic EPS - Continuing Operations</t>
  </si>
  <si>
    <t>Basic Weighted Average Shares Outstanding</t>
  </si>
  <si>
    <t>Net EPS - Diluted</t>
  </si>
  <si>
    <t>0.69</t>
  </si>
  <si>
    <t>1.68</t>
  </si>
  <si>
    <t>2.15</t>
  </si>
  <si>
    <t>2.68</t>
  </si>
  <si>
    <t>2.91</t>
  </si>
  <si>
    <t>2.4</t>
  </si>
  <si>
    <t>1.48</t>
  </si>
  <si>
    <t>6.81</t>
  </si>
  <si>
    <t>9.9</t>
  </si>
  <si>
    <t>5.36</t>
  </si>
  <si>
    <t>Diluted EPS - Continuing Operations</t>
  </si>
  <si>
    <t>Diluted Weighted Average Shares Outstanding</t>
  </si>
  <si>
    <t>Normalized Basic EPS</t>
  </si>
  <si>
    <t>0.83</t>
  </si>
  <si>
    <t>1.66</t>
  </si>
  <si>
    <t>2.3</t>
  </si>
  <si>
    <t>2.52</t>
  </si>
  <si>
    <t>2.49</t>
  </si>
  <si>
    <t>2.08</t>
  </si>
  <si>
    <t>1.53</t>
  </si>
  <si>
    <t>5.73</t>
  </si>
  <si>
    <t>8.51</t>
  </si>
  <si>
    <t>4.57</t>
  </si>
  <si>
    <t>Normalized Diluted EPS</t>
  </si>
  <si>
    <t>0.8</t>
  </si>
  <si>
    <t>1.61</t>
  </si>
  <si>
    <t>2.23</t>
  </si>
  <si>
    <t>2.43</t>
  </si>
  <si>
    <t>2.04</t>
  </si>
  <si>
    <t>1.52</t>
  </si>
  <si>
    <t>5.69</t>
  </si>
  <si>
    <t>8.46</t>
  </si>
  <si>
    <t>4.56</t>
  </si>
  <si>
    <t>EBITDA</t>
  </si>
  <si>
    <t>EBITA</t>
  </si>
  <si>
    <t>EBIT</t>
  </si>
  <si>
    <t>EBITDAR</t>
  </si>
  <si>
    <t>Effective Tax Rate - (Ratio)</t>
  </si>
  <si>
    <t>43.38</t>
  </si>
  <si>
    <t>32.37</t>
  </si>
  <si>
    <t>39.92</t>
  </si>
  <si>
    <t>31.23</t>
  </si>
  <si>
    <t>24.07</t>
  </si>
  <si>
    <t>23.23</t>
  </si>
  <si>
    <t>22.79</t>
  </si>
  <si>
    <t>26.25</t>
  </si>
  <si>
    <t>26.81</t>
  </si>
  <si>
    <t>25.89</t>
  </si>
  <si>
    <t>Current Domestic Taxes</t>
  </si>
  <si>
    <t>Total Current Taxes</t>
  </si>
  <si>
    <t>Deferred Domestic Taxes</t>
  </si>
  <si>
    <t>Total Deferred Taxes</t>
  </si>
  <si>
    <t>Normalized Net Income</t>
  </si>
  <si>
    <t>Interest Capitalized</t>
  </si>
  <si>
    <t>Supplemental Operating Expense Items</t>
  </si>
  <si>
    <t>Net Rental Expense, Total</t>
  </si>
  <si>
    <t>Imputed Operating Lease Interest Expense</t>
  </si>
  <si>
    <t>Imputed Operating Lease Depreciation</t>
  </si>
  <si>
    <t>Stock-Based Comp., SG&amp;A Exp. (Total)</t>
  </si>
  <si>
    <t>Total Stock-Based Compensation</t>
  </si>
  <si>
    <t>Profitability</t>
  </si>
  <si>
    <t>Return on Assets</t>
  </si>
  <si>
    <t>6.6</t>
  </si>
  <si>
    <t>10.73</t>
  </si>
  <si>
    <t>11.59</t>
  </si>
  <si>
    <t>10.88</t>
  </si>
  <si>
    <t>9.67</t>
  </si>
  <si>
    <t>6.72</t>
  </si>
  <si>
    <t>4.83</t>
  </si>
  <si>
    <t>10.89</t>
  </si>
  <si>
    <t>13.38</t>
  </si>
  <si>
    <t>7.33</t>
  </si>
  <si>
    <t>Return on Total Capital</t>
  </si>
  <si>
    <t>10.58</t>
  </si>
  <si>
    <t>16.91</t>
  </si>
  <si>
    <t>17.37</t>
  </si>
  <si>
    <t>15.67</t>
  </si>
  <si>
    <t>13.54</t>
  </si>
  <si>
    <t>9.06</t>
  </si>
  <si>
    <t>6.4</t>
  </si>
  <si>
    <t>15.71</t>
  </si>
  <si>
    <t>20.47</t>
  </si>
  <si>
    <t>10.43</t>
  </si>
  <si>
    <t>Return On Equity %</t>
  </si>
  <si>
    <t>14.01</t>
  </si>
  <si>
    <t>27.1</t>
  </si>
  <si>
    <t>26.55</t>
  </si>
  <si>
    <t>26.2</t>
  </si>
  <si>
    <t>23.59</t>
  </si>
  <si>
    <t>16.57</t>
  </si>
  <si>
    <t>9.08</t>
  </si>
  <si>
    <t>33.04</t>
  </si>
  <si>
    <t>40.26</t>
  </si>
  <si>
    <t>22.47</t>
  </si>
  <si>
    <t>Return on Common Equity</t>
  </si>
  <si>
    <t>Margin Analysis</t>
  </si>
  <si>
    <t>Gross Profit Margin %</t>
  </si>
  <si>
    <t>30.51</t>
  </si>
  <si>
    <t>32.08</t>
  </si>
  <si>
    <t>32.58</t>
  </si>
  <si>
    <t>32.41</t>
  </si>
  <si>
    <t>32.6</t>
  </si>
  <si>
    <t>33.46</t>
  </si>
  <si>
    <t>33.08</t>
  </si>
  <si>
    <t>32.87</t>
  </si>
  <si>
    <t>32.74</t>
  </si>
  <si>
    <t>32.98</t>
  </si>
  <si>
    <t>SG&amp;A Margin</t>
  </si>
  <si>
    <t>22.41</t>
  </si>
  <si>
    <t>21.49</t>
  </si>
  <si>
    <t>20.95</t>
  </si>
  <si>
    <t>20.1</t>
  </si>
  <si>
    <t>20.72</t>
  </si>
  <si>
    <t>22.54</t>
  </si>
  <si>
    <t>22.28</t>
  </si>
  <si>
    <t>18.33</t>
  </si>
  <si>
    <t>17.92</t>
  </si>
  <si>
    <t>19.89</t>
  </si>
  <si>
    <t>EBITDA Margin %</t>
  </si>
  <si>
    <t>8.1</t>
  </si>
  <si>
    <t>10.59</t>
  </si>
  <si>
    <t>11.63</t>
  </si>
  <si>
    <t>12.31</t>
  </si>
  <si>
    <t>11.88</t>
  </si>
  <si>
    <t>10.92</t>
  </si>
  <si>
    <t>10.85</t>
  </si>
  <si>
    <t>14.6</t>
  </si>
  <si>
    <t>14.9</t>
  </si>
  <si>
    <t>13.24</t>
  </si>
  <si>
    <t>EBITA Margin %</t>
  </si>
  <si>
    <t>11.04</t>
  </si>
  <si>
    <t>11.62</t>
  </si>
  <si>
    <t>11.09</t>
  </si>
  <si>
    <t>9.93</t>
  </si>
  <si>
    <t>9.59</t>
  </si>
  <si>
    <t>13.58</t>
  </si>
  <si>
    <t>13.87</t>
  </si>
  <si>
    <t>11.36</t>
  </si>
  <si>
    <t>EBIT Margin %</t>
  </si>
  <si>
    <t>6.55</t>
  </si>
  <si>
    <t>9.16</t>
  </si>
  <si>
    <t>10.07</t>
  </si>
  <si>
    <t>10.68</t>
  </si>
  <si>
    <t>9.95</t>
  </si>
  <si>
    <t>8.28</t>
  </si>
  <si>
    <t>6.92</t>
  </si>
  <si>
    <t>12.29</t>
  </si>
  <si>
    <t>Income From Continuing Operations Margin %</t>
  </si>
  <si>
    <t>3.21</t>
  </si>
  <si>
    <t>5.6</t>
  </si>
  <si>
    <t>5.56</t>
  </si>
  <si>
    <t>6.67</t>
  </si>
  <si>
    <t>6.64</t>
  </si>
  <si>
    <t>5.13</t>
  </si>
  <si>
    <t>2.95</t>
  </si>
  <si>
    <t>8.22</t>
  </si>
  <si>
    <t>8.47</t>
  </si>
  <si>
    <t>Net Income Margin %</t>
  </si>
  <si>
    <t>Net Avail. For Common Margin %</t>
  </si>
  <si>
    <t>Normalized Net Income Margin</t>
  </si>
  <si>
    <t>3.73</t>
  </si>
  <si>
    <t>5.39</t>
  </si>
  <si>
    <t>5.79</t>
  </si>
  <si>
    <t>6.06</t>
  </si>
  <si>
    <t>5.53</t>
  </si>
  <si>
    <t>4.38</t>
  </si>
  <si>
    <t>3.03</t>
  </si>
  <si>
    <t>6.86</t>
  </si>
  <si>
    <t>7.24</t>
  </si>
  <si>
    <t>4.73</t>
  </si>
  <si>
    <t>Levered Free Cash Flow Margin</t>
  </si>
  <si>
    <t>0.38</t>
  </si>
  <si>
    <t>3.7</t>
  </si>
  <si>
    <t>5.93</t>
  </si>
  <si>
    <t>5.62</t>
  </si>
  <si>
    <t>7.82</t>
  </si>
  <si>
    <t>8.27</t>
  </si>
  <si>
    <t>6.9</t>
  </si>
  <si>
    <t>6.02</t>
  </si>
  <si>
    <t>9.91</t>
  </si>
  <si>
    <t>7.16</t>
  </si>
  <si>
    <t>Unlevered Free Cash Flow Margin</t>
  </si>
  <si>
    <t>0.75</t>
  </si>
  <si>
    <t>3.99</t>
  </si>
  <si>
    <t>6.43</t>
  </si>
  <si>
    <t>6.24</t>
  </si>
  <si>
    <t>8.48</t>
  </si>
  <si>
    <t>9.05</t>
  </si>
  <si>
    <t>7.98</t>
  </si>
  <si>
    <t>6.66</t>
  </si>
  <si>
    <t>8.06</t>
  </si>
  <si>
    <t>Asset Turnover</t>
  </si>
  <si>
    <t>1.87</t>
  </si>
  <si>
    <t>1.84</t>
  </si>
  <si>
    <t>1.63</t>
  </si>
  <si>
    <t>1.56</t>
  </si>
  <si>
    <t>1.3</t>
  </si>
  <si>
    <t>1.12</t>
  </si>
  <si>
    <t>1.45</t>
  </si>
  <si>
    <t>1.74</t>
  </si>
  <si>
    <t>Fixed Assets Turnover</t>
  </si>
  <si>
    <t>38.34</t>
  </si>
  <si>
    <t>35.25</t>
  </si>
  <si>
    <t>34.56</t>
  </si>
  <si>
    <t>29.82</t>
  </si>
  <si>
    <t>26.07</t>
  </si>
  <si>
    <t>15.59</t>
  </si>
  <si>
    <t>12.32</t>
  </si>
  <si>
    <t>22.85</t>
  </si>
  <si>
    <t>32.73</t>
  </si>
  <si>
    <t>19.36</t>
  </si>
  <si>
    <t>Receivables Turnover (Average Receivables)</t>
  </si>
  <si>
    <t>5.45</t>
  </si>
  <si>
    <t>5.28</t>
  </si>
  <si>
    <t>5.08</t>
  </si>
  <si>
    <t>5.29</t>
  </si>
  <si>
    <t>5.47</t>
  </si>
  <si>
    <t>5.31</t>
  </si>
  <si>
    <t>4.5</t>
  </si>
  <si>
    <t>Short Term Liquidity</t>
  </si>
  <si>
    <t>Current Ratio</t>
  </si>
  <si>
    <t>1.59</t>
  </si>
  <si>
    <t>1.5</t>
  </si>
  <si>
    <t>1.64</t>
  </si>
  <si>
    <t>1.79</t>
  </si>
  <si>
    <t>1.57</t>
  </si>
  <si>
    <t>1.26</t>
  </si>
  <si>
    <t>1.39</t>
  </si>
  <si>
    <t>1.27</t>
  </si>
  <si>
    <t>1.28</t>
  </si>
  <si>
    <t>Quick Ratio</t>
  </si>
  <si>
    <t>1.36</t>
  </si>
  <si>
    <t>1.46</t>
  </si>
  <si>
    <t>1.4</t>
  </si>
  <si>
    <t>1.15</t>
  </si>
  <si>
    <t>1.25</t>
  </si>
  <si>
    <t>1.19</t>
  </si>
  <si>
    <t>Operating Cash Flow to Current Liabilities</t>
  </si>
  <si>
    <t>0.16</t>
  </si>
  <si>
    <t>0.22</t>
  </si>
  <si>
    <t>0.48</t>
  </si>
  <si>
    <t>0.43</t>
  </si>
  <si>
    <t>0.74</t>
  </si>
  <si>
    <t>0.59</t>
  </si>
  <si>
    <t>0.61</t>
  </si>
  <si>
    <t>0.31</t>
  </si>
  <si>
    <t>0.76</t>
  </si>
  <si>
    <t>0.57</t>
  </si>
  <si>
    <t>Days Sales Outstanding (Average Receivables)</t>
  </si>
  <si>
    <t>67.02</t>
  </si>
  <si>
    <t>67.8</t>
  </si>
  <si>
    <t>69.27</t>
  </si>
  <si>
    <t>71.84</t>
  </si>
  <si>
    <t>68.99</t>
  </si>
  <si>
    <t>69.1</t>
  </si>
  <si>
    <t>66.93</t>
  </si>
  <si>
    <t>67.74</t>
  </si>
  <si>
    <t>68.68</t>
  </si>
  <si>
    <t>81.18</t>
  </si>
  <si>
    <t>Average Days Payable Outstanding</t>
  </si>
  <si>
    <t>31.14</t>
  </si>
  <si>
    <t>31.76</t>
  </si>
  <si>
    <t>24.3</t>
  </si>
  <si>
    <t>21.53</t>
  </si>
  <si>
    <t>19.73</t>
  </si>
  <si>
    <t>22.83</t>
  </si>
  <si>
    <t>23.99</t>
  </si>
  <si>
    <t>30.46</t>
  </si>
  <si>
    <t>36.86</t>
  </si>
  <si>
    <t>39.55</t>
  </si>
  <si>
    <t>Long Term Solvency</t>
  </si>
  <si>
    <t>Total Debt/Equity</t>
  </si>
  <si>
    <t>65.75</t>
  </si>
  <si>
    <t>62.85</t>
  </si>
  <si>
    <t>80.76</t>
  </si>
  <si>
    <t>56.86</t>
  </si>
  <si>
    <t>68.95</t>
  </si>
  <si>
    <t>98.04</t>
  </si>
  <si>
    <t>116.57</t>
  </si>
  <si>
    <t>74.62</t>
  </si>
  <si>
    <t>82.5</t>
  </si>
  <si>
    <t>162.44</t>
  </si>
  <si>
    <t>Total Debt / Total Capital</t>
  </si>
  <si>
    <t>39.67</t>
  </si>
  <si>
    <t>38.59</t>
  </si>
  <si>
    <t>44.68</t>
  </si>
  <si>
    <t>36.25</t>
  </si>
  <si>
    <t>40.81</t>
  </si>
  <si>
    <t>49.51</t>
  </si>
  <si>
    <t>53.83</t>
  </si>
  <si>
    <t>42.73</t>
  </si>
  <si>
    <t>45.2</t>
  </si>
  <si>
    <t>61.9</t>
  </si>
  <si>
    <t>LT Debt/Equity</t>
  </si>
  <si>
    <t>53.35</t>
  </si>
  <si>
    <t>52.03</t>
  </si>
  <si>
    <t>79.93</t>
  </si>
  <si>
    <t>96.15</t>
  </si>
  <si>
    <t>114.16</t>
  </si>
  <si>
    <t>73.64</t>
  </si>
  <si>
    <t>81.72</t>
  </si>
  <si>
    <t>161.48</t>
  </si>
  <si>
    <t>Long-Term Debt / Total Capital</t>
  </si>
  <si>
    <t>32.18</t>
  </si>
  <si>
    <t>31.95</t>
  </si>
  <si>
    <t>44.22</t>
  </si>
  <si>
    <t>48.55</t>
  </si>
  <si>
    <t>52.71</t>
  </si>
  <si>
    <t>42.17</t>
  </si>
  <si>
    <t>44.78</t>
  </si>
  <si>
    <t>61.53</t>
  </si>
  <si>
    <t>Total Liabilities / Total Assets</t>
  </si>
  <si>
    <t>62.37</t>
  </si>
  <si>
    <t>60.49</t>
  </si>
  <si>
    <t>62.14</t>
  </si>
  <si>
    <t>55.14</t>
  </si>
  <si>
    <t>57.19</t>
  </si>
  <si>
    <t>61.86</t>
  </si>
  <si>
    <t>65.17</t>
  </si>
  <si>
    <t>62.9</t>
  </si>
  <si>
    <t>63.87</t>
  </si>
  <si>
    <t>71.58</t>
  </si>
  <si>
    <t>EBIT / Interest Expense</t>
  </si>
  <si>
    <t>19.45</t>
  </si>
  <si>
    <t>12.39</t>
  </si>
  <si>
    <t>10.8</t>
  </si>
  <si>
    <t>6.48</t>
  </si>
  <si>
    <t>3.35</t>
  </si>
  <si>
    <t>11.72</t>
  </si>
  <si>
    <t>6.3</t>
  </si>
  <si>
    <t>EBITDA / Interest Expense</t>
  </si>
  <si>
    <t>22.49</t>
  </si>
  <si>
    <t>14.31</t>
  </si>
  <si>
    <t>12.44</t>
  </si>
  <si>
    <t>5.89</t>
  </si>
  <si>
    <t>15.05</t>
  </si>
  <si>
    <t>9.57</t>
  </si>
  <si>
    <t>(EBITDA - Capex) / Interest Expense</t>
  </si>
  <si>
    <t>18.57</t>
  </si>
  <si>
    <t>12.89</t>
  </si>
  <si>
    <t>9.31</t>
  </si>
  <si>
    <t>8.76</t>
  </si>
  <si>
    <t>13.74</t>
  </si>
  <si>
    <t>7.65</t>
  </si>
  <si>
    <t>Total Debt / EBITDA</t>
  </si>
  <si>
    <t>2.01</t>
  </si>
  <si>
    <t>1.41</t>
  </si>
  <si>
    <t>1.31</t>
  </si>
  <si>
    <t>2.54</t>
  </si>
  <si>
    <t>3.28</t>
  </si>
  <si>
    <t>1.07</t>
  </si>
  <si>
    <t>2.61</t>
  </si>
  <si>
    <t>Net Debt / EBITDA</t>
  </si>
  <si>
    <t>1.86</t>
  </si>
  <si>
    <t>1.35</t>
  </si>
  <si>
    <t>2.25</t>
  </si>
  <si>
    <t>3.18</t>
  </si>
  <si>
    <t>0.99</t>
  </si>
  <si>
    <t>Total Debt / (EBITDA - Capex)</t>
  </si>
  <si>
    <t>1.71</t>
  </si>
  <si>
    <t>1.82</t>
  </si>
  <si>
    <t>1.47</t>
  </si>
  <si>
    <t>2.02</t>
  </si>
  <si>
    <t>2.9</t>
  </si>
  <si>
    <t>3.77</t>
  </si>
  <si>
    <t>1.55</t>
  </si>
  <si>
    <t>1.18</t>
  </si>
  <si>
    <t>3.26</t>
  </si>
  <si>
    <t>Net Debt / (EBITDA - Capex)</t>
  </si>
  <si>
    <t>1.77</t>
  </si>
  <si>
    <t>1.95</t>
  </si>
  <si>
    <t>2.57</t>
  </si>
  <si>
    <t>3.65</t>
  </si>
  <si>
    <t>1.22</t>
  </si>
  <si>
    <t>1.09</t>
  </si>
  <si>
    <t>Growth Over Prior Year</t>
  </si>
  <si>
    <t>Total Revenues, 1 Yr. Growth %</t>
  </si>
  <si>
    <t>2.39</t>
  </si>
  <si>
    <t>41.22</t>
  </si>
  <si>
    <t>30.02</t>
  </si>
  <si>
    <t>4.53</t>
  </si>
  <si>
    <t>7.42</t>
  </si>
  <si>
    <t>4.03</t>
  </si>
  <si>
    <t>7.72</t>
  </si>
  <si>
    <t>66.45</t>
  </si>
  <si>
    <t>31.6</t>
  </si>
  <si>
    <t>-27.73</t>
  </si>
  <si>
    <t>Gross Profit, 1 Yr. Growth %</t>
  </si>
  <si>
    <t>6.34</t>
  </si>
  <si>
    <t>48.48</t>
  </si>
  <si>
    <t>32.04</t>
  </si>
  <si>
    <t>3.98</t>
  </si>
  <si>
    <t>6.76</t>
  </si>
  <si>
    <t>6.5</t>
  </si>
  <si>
    <t>65.4</t>
  </si>
  <si>
    <t>31.08</t>
  </si>
  <si>
    <t>-27.21</t>
  </si>
  <si>
    <t>EBITDA, 1 Yr. Growth %</t>
  </si>
  <si>
    <t>10.39</t>
  </si>
  <si>
    <t>84.67</t>
  </si>
  <si>
    <t>42.81</t>
  </si>
  <si>
    <t>10.61</t>
  </si>
  <si>
    <t>3.63</t>
  </si>
  <si>
    <t>0.39</t>
  </si>
  <si>
    <t>7.09</t>
  </si>
  <si>
    <t>123.88</t>
  </si>
  <si>
    <t>34.31</t>
  </si>
  <si>
    <t>-35.77</t>
  </si>
  <si>
    <t>EBITA, 1 Yr. Growth %</t>
  </si>
  <si>
    <t>9.55</t>
  </si>
  <si>
    <t>92.96</t>
  </si>
  <si>
    <t>44.03</t>
  </si>
  <si>
    <t>10.06</t>
  </si>
  <si>
    <t>-1.82</t>
  </si>
  <si>
    <t>4.02</t>
  </si>
  <si>
    <t>135.79</t>
  </si>
  <si>
    <t>34.42</t>
  </si>
  <si>
    <t>-40.79</t>
  </si>
  <si>
    <t>EBIT, 1 Yr. Growth %</t>
  </si>
  <si>
    <t>8.72</t>
  </si>
  <si>
    <t>97.31</t>
  </si>
  <si>
    <t>43.03</t>
  </si>
  <si>
    <t>10.86</t>
  </si>
  <si>
    <t>-0.03</t>
  </si>
  <si>
    <t>-8.15</t>
  </si>
  <si>
    <t>-10.03</t>
  </si>
  <si>
    <t>188.59</t>
  </si>
  <si>
    <t>34.76</t>
  </si>
  <si>
    <t>-47.09</t>
  </si>
  <si>
    <t>Earnings From Cont. Operations, 1 Yr. Growth %</t>
  </si>
  <si>
    <t>0.86</t>
  </si>
  <si>
    <t>146.53</t>
  </si>
  <si>
    <t>29.24</t>
  </si>
  <si>
    <t>25.25</t>
  </si>
  <si>
    <t>6.93</t>
  </si>
  <si>
    <t>-19.58</t>
  </si>
  <si>
    <t>-38.01</t>
  </si>
  <si>
    <t>363.3</t>
  </si>
  <si>
    <t>35.63</t>
  </si>
  <si>
    <t>-52.56</t>
  </si>
  <si>
    <t>Net Income, 1 Yr. Growth %</t>
  </si>
  <si>
    <t>Normalized Net Income, 1 Yr. Growth %</t>
  </si>
  <si>
    <t>16.07</t>
  </si>
  <si>
    <t>104.26</t>
  </si>
  <si>
    <t>39.61</t>
  </si>
  <si>
    <t>9.42</t>
  </si>
  <si>
    <t>-2.01</t>
  </si>
  <si>
    <t>-12.05</t>
  </si>
  <si>
    <t>-25.36</t>
  </si>
  <si>
    <t>276.3</t>
  </si>
  <si>
    <t>38.87</t>
  </si>
  <si>
    <t>-52.51</t>
  </si>
  <si>
    <t>Diluted EPS Before Extra, 1 Yr. Growth %</t>
  </si>
  <si>
    <t>0</t>
  </si>
  <si>
    <t>143.48</t>
  </si>
  <si>
    <t>27.98</t>
  </si>
  <si>
    <t>24.65</t>
  </si>
  <si>
    <t>8.58</t>
  </si>
  <si>
    <t>-17.53</t>
  </si>
  <si>
    <t>-38.33</t>
  </si>
  <si>
    <t>360.14</t>
  </si>
  <si>
    <t>45.37</t>
  </si>
  <si>
    <t>-45.86</t>
  </si>
  <si>
    <t>Accounts Receivable, 1 Yr. Growth %</t>
  </si>
  <si>
    <t>29.54</t>
  </si>
  <si>
    <t>53.13</t>
  </si>
  <si>
    <t>18.98</t>
  </si>
  <si>
    <t>0.08</t>
  </si>
  <si>
    <t>6.26</t>
  </si>
  <si>
    <t>2.26</t>
  </si>
  <si>
    <t>5.8</t>
  </si>
  <si>
    <t>128.59</t>
  </si>
  <si>
    <t>-8.21</t>
  </si>
  <si>
    <t>-21.52</t>
  </si>
  <si>
    <t>Net Property, Plant and Equip., 1 Yr. Growth %</t>
  </si>
  <si>
    <t>55.4</t>
  </si>
  <si>
    <t>52.48</t>
  </si>
  <si>
    <t>19.59</t>
  </si>
  <si>
    <t>22.48</t>
  </si>
  <si>
    <t>23.13</t>
  </si>
  <si>
    <t>115.33</t>
  </si>
  <si>
    <t>-0.41</t>
  </si>
  <si>
    <t>-20.12</t>
  </si>
  <si>
    <t>6.88</t>
  </si>
  <si>
    <t>36.48</t>
  </si>
  <si>
    <t>Total Assets, 1 Yr. Growth %</t>
  </si>
  <si>
    <t>12.85</t>
  </si>
  <si>
    <t>29.34</t>
  </si>
  <si>
    <t>34.81</t>
  </si>
  <si>
    <t>5.65</t>
  </si>
  <si>
    <t>19.04</t>
  </si>
  <si>
    <t>29.4</t>
  </si>
  <si>
    <t>21.84</t>
  </si>
  <si>
    <t>33.07</t>
  </si>
  <si>
    <t>-7.78</t>
  </si>
  <si>
    <t>Tangible Book Value, 1 Yr. Growth %</t>
  </si>
  <si>
    <t>-34.73</t>
  </si>
  <si>
    <t>-36.63</t>
  </si>
  <si>
    <t>333.05</t>
  </si>
  <si>
    <t>-96.26</t>
  </si>
  <si>
    <t>104.74</t>
  </si>
  <si>
    <t>136.98</t>
  </si>
  <si>
    <t>-59.85</t>
  </si>
  <si>
    <t>50.57</t>
  </si>
  <si>
    <t>104.69</t>
  </si>
  <si>
    <t>Common Equity, 1 Yr. Growth %</t>
  </si>
  <si>
    <t>17.84</t>
  </si>
  <si>
    <t>35.58</t>
  </si>
  <si>
    <t>29.18</t>
  </si>
  <si>
    <t>25.18</t>
  </si>
  <si>
    <t>13.59</t>
  </si>
  <si>
    <t>15.3</t>
  </si>
  <si>
    <t>11.26</t>
  </si>
  <si>
    <t>41.77</t>
  </si>
  <si>
    <t>-10.19</t>
  </si>
  <si>
    <t>-20.35</t>
  </si>
  <si>
    <t>Cash From Operations, 1 Yr. Growth %</t>
  </si>
  <si>
    <t>103.46</t>
  </si>
  <si>
    <t>134.14</t>
  </si>
  <si>
    <t>-12.58</t>
  </si>
  <si>
    <t>41.41</t>
  </si>
  <si>
    <t>-0.94</t>
  </si>
  <si>
    <t>14.21</t>
  </si>
  <si>
    <t>18.9</t>
  </si>
  <si>
    <t>114.09</t>
  </si>
  <si>
    <t>-43.07</t>
  </si>
  <si>
    <t>Capital Expenditures, 1 Yr. Growth %</t>
  </si>
  <si>
    <t>111.5</t>
  </si>
  <si>
    <t>41.16</t>
  </si>
  <si>
    <t>-18.71</t>
  </si>
  <si>
    <t>20.83</t>
  </si>
  <si>
    <t>32.71</t>
  </si>
  <si>
    <t>0.03</t>
  </si>
  <si>
    <t>7.05</t>
  </si>
  <si>
    <t>42.1</t>
  </si>
  <si>
    <t>41.55</t>
  </si>
  <si>
    <t>36.73</t>
  </si>
  <si>
    <t>Levered Free Cash Flow, 1 Yr. Growth %</t>
  </si>
  <si>
    <t>-91.77</t>
  </si>
  <si>
    <t>109.94</t>
  </si>
  <si>
    <t>-0.92</t>
  </si>
  <si>
    <t>49.45</t>
  </si>
  <si>
    <t>15.25</t>
  </si>
  <si>
    <t>-10.16</t>
  </si>
  <si>
    <t>45.18</t>
  </si>
  <si>
    <t>95.89</t>
  </si>
  <si>
    <t>-45.11</t>
  </si>
  <si>
    <t>Unlevered Free Cash Flow, 1 Yr. Growth %</t>
  </si>
  <si>
    <t>-85.53</t>
  </si>
  <si>
    <t>651.67</t>
  </si>
  <si>
    <t>108.99</t>
  </si>
  <si>
    <t>46.01</t>
  </si>
  <si>
    <t>15.79</t>
  </si>
  <si>
    <t>-4.93</t>
  </si>
  <si>
    <t>38.72</t>
  </si>
  <si>
    <t>96.01</t>
  </si>
  <si>
    <t>-41.27</t>
  </si>
  <si>
    <t>Compound Annual Growth Rate Over Two Years</t>
  </si>
  <si>
    <t>Total Revenues, 2 Yr. CAGR %</t>
  </si>
  <si>
    <t>4.21</t>
  </si>
  <si>
    <t>20.25</t>
  </si>
  <si>
    <t>35.5</t>
  </si>
  <si>
    <t>16.58</t>
  </si>
  <si>
    <t>5.97</t>
  </si>
  <si>
    <t>5.71</t>
  </si>
  <si>
    <t>5.86</t>
  </si>
  <si>
    <t>33.9</t>
  </si>
  <si>
    <t>-2.48</t>
  </si>
  <si>
    <t>Gross Profit, 2 Yr. CAGR %</t>
  </si>
  <si>
    <t>8.12</t>
  </si>
  <si>
    <t>25.65</t>
  </si>
  <si>
    <t>40.02</t>
  </si>
  <si>
    <t>17.17</t>
  </si>
  <si>
    <t>7.41</t>
  </si>
  <si>
    <t>6.63</t>
  </si>
  <si>
    <t>32.72</t>
  </si>
  <si>
    <t>47.25</t>
  </si>
  <si>
    <t>-2.32</t>
  </si>
  <si>
    <t>EBITDA, 2 Yr. CAGR %</t>
  </si>
  <si>
    <t>11.49</t>
  </si>
  <si>
    <t>62.4</t>
  </si>
  <si>
    <t>27.8</t>
  </si>
  <si>
    <t>7.11</t>
  </si>
  <si>
    <t>-0.47</t>
  </si>
  <si>
    <t>3.69</t>
  </si>
  <si>
    <t>54.84</t>
  </si>
  <si>
    <t>73.41</t>
  </si>
  <si>
    <t>-7.12</t>
  </si>
  <si>
    <t>EBITA, 2 Yr. CAGR %</t>
  </si>
  <si>
    <t>12.17</t>
  </si>
  <si>
    <t>42.28</t>
  </si>
  <si>
    <t>66.75</t>
  </si>
  <si>
    <t>28.16</t>
  </si>
  <si>
    <t>6.21</t>
  </si>
  <si>
    <t>71.43</t>
  </si>
  <si>
    <t>109.54</t>
  </si>
  <si>
    <t>-5.09</t>
  </si>
  <si>
    <t>EBIT, 2 Yr. CAGR %</t>
  </si>
  <si>
    <t>12.83</t>
  </si>
  <si>
    <t>43.02</t>
  </si>
  <si>
    <t>67.99</t>
  </si>
  <si>
    <t>28.39</t>
  </si>
  <si>
    <t>5.33</t>
  </si>
  <si>
    <t>-6.95</t>
  </si>
  <si>
    <t>-9.09</t>
  </si>
  <si>
    <t>61.14</t>
  </si>
  <si>
    <t>97.21</t>
  </si>
  <si>
    <t>-15.55</t>
  </si>
  <si>
    <t>Earnings From Cont. Operations, 2 Yr. CAGR %</t>
  </si>
  <si>
    <t>42.7</t>
  </si>
  <si>
    <t>57.69</t>
  </si>
  <si>
    <t>78.5</t>
  </si>
  <si>
    <t>27.23</t>
  </si>
  <si>
    <t>15.72</t>
  </si>
  <si>
    <t>-7.27</t>
  </si>
  <si>
    <t>-29.39</t>
  </si>
  <si>
    <t>69.47</t>
  </si>
  <si>
    <t>150.68</t>
  </si>
  <si>
    <t>-19.78</t>
  </si>
  <si>
    <t>Net Income, 2 Yr. CAGR %</t>
  </si>
  <si>
    <t>39.23</t>
  </si>
  <si>
    <t>Normalized Net Income, 2 Yr. CAGR %</t>
  </si>
  <si>
    <t>28.98</t>
  </si>
  <si>
    <t>49.75</t>
  </si>
  <si>
    <t>68.87</t>
  </si>
  <si>
    <t>26.17</t>
  </si>
  <si>
    <t>3.61</t>
  </si>
  <si>
    <t>-10.18</t>
  </si>
  <si>
    <t>-20.6</t>
  </si>
  <si>
    <t>67.59</t>
  </si>
  <si>
    <t>137.23</t>
  </si>
  <si>
    <t>-19.63</t>
  </si>
  <si>
    <t>Diluted EPS Before Extra, 2 Yr. CAGR %</t>
  </si>
  <si>
    <t>40.56</t>
  </si>
  <si>
    <t>56.04</t>
  </si>
  <si>
    <t>76.52</t>
  </si>
  <si>
    <t>26.3</t>
  </si>
  <si>
    <t>16.34</t>
  </si>
  <si>
    <t>-5.37</t>
  </si>
  <si>
    <t>-28.68</t>
  </si>
  <si>
    <t>68.45</t>
  </si>
  <si>
    <t>158.63</t>
  </si>
  <si>
    <t>-11.28</t>
  </si>
  <si>
    <t>Accounts Receivable, 2 Yr. CAGR %</t>
  </si>
  <si>
    <t>15.49</t>
  </si>
  <si>
    <t>40.85</t>
  </si>
  <si>
    <t>34.98</t>
  </si>
  <si>
    <t>9.12</t>
  </si>
  <si>
    <t>3.12</t>
  </si>
  <si>
    <t>4.24</t>
  </si>
  <si>
    <t>4.01</t>
  </si>
  <si>
    <t>55.52</t>
  </si>
  <si>
    <t>44.85</t>
  </si>
  <si>
    <t>-15.12</t>
  </si>
  <si>
    <t>Net Property, Plant and Equip., 2 Yr. CAGR %</t>
  </si>
  <si>
    <t>48.98</t>
  </si>
  <si>
    <t>53.93</t>
  </si>
  <si>
    <t>35.03</t>
  </si>
  <si>
    <t>21.02</t>
  </si>
  <si>
    <t>22.81</t>
  </si>
  <si>
    <t>62.83</t>
  </si>
  <si>
    <t>46.44</t>
  </si>
  <si>
    <t>-10.81</t>
  </si>
  <si>
    <t>-7.6</t>
  </si>
  <si>
    <t>20.78</t>
  </si>
  <si>
    <t>Total Assets, 2 Yr. CAGR %</t>
  </si>
  <si>
    <t>14.8</t>
  </si>
  <si>
    <t>20.71</t>
  </si>
  <si>
    <t>19.34</t>
  </si>
  <si>
    <t>12.15</t>
  </si>
  <si>
    <t>24.11</t>
  </si>
  <si>
    <t>25.56</t>
  </si>
  <si>
    <t>27.33</t>
  </si>
  <si>
    <t>10.78</t>
  </si>
  <si>
    <t>-3.37</t>
  </si>
  <si>
    <t>Tangible Book Value, 2 Yr. CAGR %</t>
  </si>
  <si>
    <t>-19.74</t>
  </si>
  <si>
    <t>-35.69</t>
  </si>
  <si>
    <t>65.66</t>
  </si>
  <si>
    <t>-59.75</t>
  </si>
  <si>
    <t>-4.61</t>
  </si>
  <si>
    <t>605.78</t>
  </si>
  <si>
    <t>120.27</t>
  </si>
  <si>
    <t>-2.46</t>
  </si>
  <si>
    <t>-22.25</t>
  </si>
  <si>
    <t>75.56</t>
  </si>
  <si>
    <t>Common Equity, 2 Yr. CAGR %</t>
  </si>
  <si>
    <t>18.7</t>
  </si>
  <si>
    <t>26.4</t>
  </si>
  <si>
    <t>32.34</t>
  </si>
  <si>
    <t>27.17</t>
  </si>
  <si>
    <t>19.24</t>
  </si>
  <si>
    <t>14.44</t>
  </si>
  <si>
    <t>13.26</t>
  </si>
  <si>
    <t>25.59</t>
  </si>
  <si>
    <t>12.84</t>
  </si>
  <si>
    <t>-15.42</t>
  </si>
  <si>
    <t>Cash From Operations, 2 Yr. CAGR %</t>
  </si>
  <si>
    <t>-31.15</t>
  </si>
  <si>
    <t>-3.26</t>
  </si>
  <si>
    <t>118.26</t>
  </si>
  <si>
    <t>43.07</t>
  </si>
  <si>
    <t>30.2</t>
  </si>
  <si>
    <t>18.36</t>
  </si>
  <si>
    <t>6.37</t>
  </si>
  <si>
    <t>16.53</t>
  </si>
  <si>
    <t>59.54</t>
  </si>
  <si>
    <t>10.4</t>
  </si>
  <si>
    <t>Capital Expenditures, 2 Yr. CAGR %</t>
  </si>
  <si>
    <t>86.99</t>
  </si>
  <si>
    <t>72.79</t>
  </si>
  <si>
    <t>7.12</t>
  </si>
  <si>
    <t>-0.89</t>
  </si>
  <si>
    <t>26.63</t>
  </si>
  <si>
    <t>15.22</t>
  </si>
  <si>
    <t>3.48</t>
  </si>
  <si>
    <t>23.34</t>
  </si>
  <si>
    <t>41.82</t>
  </si>
  <si>
    <t>39.12</t>
  </si>
  <si>
    <t>Levered Free Cash Flow, 2 Yr. CAGR %</t>
  </si>
  <si>
    <t>-72.62</t>
  </si>
  <si>
    <t>4.19</t>
  </si>
  <si>
    <t>434.38</t>
  </si>
  <si>
    <t>48.7</t>
  </si>
  <si>
    <t>21.76</t>
  </si>
  <si>
    <t>28.24</t>
  </si>
  <si>
    <t>0.33</t>
  </si>
  <si>
    <t>14.2</t>
  </si>
  <si>
    <t>63.58</t>
  </si>
  <si>
    <t>Unlevered Free Cash Flow, 2 Yr. CAGR %</t>
  </si>
  <si>
    <t>-64.81</t>
  </si>
  <si>
    <t>296.77</t>
  </si>
  <si>
    <t>49.63</t>
  </si>
  <si>
    <t>21.68</t>
  </si>
  <si>
    <t>27.28</t>
  </si>
  <si>
    <t>4.92</t>
  </si>
  <si>
    <t>14.84</t>
  </si>
  <si>
    <t>64.9</t>
  </si>
  <si>
    <t>7.3</t>
  </si>
  <si>
    <t>Compound Annual Growth Rate Over Three Years</t>
  </si>
  <si>
    <t>Total Revenues, 3 Yr. CAGR %</t>
  </si>
  <si>
    <t>15.32</t>
  </si>
  <si>
    <t>23.42</t>
  </si>
  <si>
    <t>24.27</t>
  </si>
  <si>
    <t>13.44</t>
  </si>
  <si>
    <t>5.32</t>
  </si>
  <si>
    <t>6.38</t>
  </si>
  <si>
    <t>23.1</t>
  </si>
  <si>
    <t>33.13</t>
  </si>
  <si>
    <t>16.54</t>
  </si>
  <si>
    <t>Gross Profit, 3 Yr. CAGR %</t>
  </si>
  <si>
    <t>8.23</t>
  </si>
  <si>
    <t>20.18</t>
  </si>
  <si>
    <t>27.75</t>
  </si>
  <si>
    <t>26.8</t>
  </si>
  <si>
    <t>14.05</t>
  </si>
  <si>
    <t>23.43</t>
  </si>
  <si>
    <t>32.17</t>
  </si>
  <si>
    <t>16.43</t>
  </si>
  <si>
    <t>EBITDA, 3 Yr. CAGR %</t>
  </si>
  <si>
    <t>31.92</t>
  </si>
  <si>
    <t>40.93</t>
  </si>
  <si>
    <t>42.88</t>
  </si>
  <si>
    <t>19.21</t>
  </si>
  <si>
    <t>1.99</t>
  </si>
  <si>
    <t>34.02</t>
  </si>
  <si>
    <t>47.67</t>
  </si>
  <si>
    <t>24.53</t>
  </si>
  <si>
    <t>EBITA, 3 Yr. CAGR %</t>
  </si>
  <si>
    <t>34.4</t>
  </si>
  <si>
    <t>42.86</t>
  </si>
  <si>
    <t>45.19</t>
  </si>
  <si>
    <t>18.96</t>
  </si>
  <si>
    <t>1.67</t>
  </si>
  <si>
    <t>39.24</t>
  </si>
  <si>
    <t>58.08</t>
  </si>
  <si>
    <t>37.5</t>
  </si>
  <si>
    <t>EBIT, 3 Yr. CAGR %</t>
  </si>
  <si>
    <t>21.73</t>
  </si>
  <si>
    <t>35.93</t>
  </si>
  <si>
    <t>46.26</t>
  </si>
  <si>
    <t>18.15</t>
  </si>
  <si>
    <t>-1.32</t>
  </si>
  <si>
    <t>-7.99</t>
  </si>
  <si>
    <t>33.6</t>
  </si>
  <si>
    <t>51.82</t>
  </si>
  <si>
    <t>27.2</t>
  </si>
  <si>
    <t>Earnings From Cont. Operations, 3 Yr. CAGR %</t>
  </si>
  <si>
    <t>87.79</t>
  </si>
  <si>
    <t>71.23</t>
  </si>
  <si>
    <t>47.57</t>
  </si>
  <si>
    <t>58.62</t>
  </si>
  <si>
    <t>20.07</t>
  </si>
  <si>
    <t>2.5</t>
  </si>
  <si>
    <t>-18.92</t>
  </si>
  <si>
    <t>32.19</t>
  </si>
  <si>
    <t>57.35</t>
  </si>
  <si>
    <t>43.93</t>
  </si>
  <si>
    <t>Net Income, 3 Yr. CAGR %</t>
  </si>
  <si>
    <t>8.14</t>
  </si>
  <si>
    <t>68.44</t>
  </si>
  <si>
    <t>Normalized Net Income, 3 Yr. CAGR %</t>
  </si>
  <si>
    <t>64.34</t>
  </si>
  <si>
    <t>50.34</t>
  </si>
  <si>
    <t>46.29</t>
  </si>
  <si>
    <t>46.13</t>
  </si>
  <si>
    <t>16.01</t>
  </si>
  <si>
    <t>-4.04</t>
  </si>
  <si>
    <t>33.37</t>
  </si>
  <si>
    <t>57.41</t>
  </si>
  <si>
    <t>38.51</t>
  </si>
  <si>
    <t>Diluted EPS Before Extra, 3 Yr. CAGR %</t>
  </si>
  <si>
    <t>84.42</t>
  </si>
  <si>
    <t>68.81</t>
  </si>
  <si>
    <t>46.06</t>
  </si>
  <si>
    <t>-17.96</t>
  </si>
  <si>
    <t>32.77</t>
  </si>
  <si>
    <t>60.38</t>
  </si>
  <si>
    <t>53.57</t>
  </si>
  <si>
    <t>Accounts Receivable, 3 Yr. CAGR %</t>
  </si>
  <si>
    <t>26.88</t>
  </si>
  <si>
    <t>33.14</t>
  </si>
  <si>
    <t>22.17</t>
  </si>
  <si>
    <t>8.16</t>
  </si>
  <si>
    <t>2.83</t>
  </si>
  <si>
    <t>4.76</t>
  </si>
  <si>
    <t>35.23</t>
  </si>
  <si>
    <t>30.45</t>
  </si>
  <si>
    <t>18.09</t>
  </si>
  <si>
    <t>Net Property, Plant and Equip., 3 Yr. CAGR %</t>
  </si>
  <si>
    <t>24.93</t>
  </si>
  <si>
    <t>50.13</t>
  </si>
  <si>
    <t>41.51</t>
  </si>
  <si>
    <t>30.71</t>
  </si>
  <si>
    <t>21.72</t>
  </si>
  <si>
    <t>48.09</t>
  </si>
  <si>
    <t>38.22</t>
  </si>
  <si>
    <t>19.65</t>
  </si>
  <si>
    <t>-5.26</t>
  </si>
  <si>
    <t>5.23</t>
  </si>
  <si>
    <t>Total Assets, 3 Yr. CAGR %</t>
  </si>
  <si>
    <t>8.38</t>
  </si>
  <si>
    <t>19.39</t>
  </si>
  <si>
    <t>25.23</t>
  </si>
  <si>
    <t>22.58</t>
  </si>
  <si>
    <t>17.63</t>
  </si>
  <si>
    <t>23.35</t>
  </si>
  <si>
    <t>28.02</t>
  </si>
  <si>
    <t>14.35</t>
  </si>
  <si>
    <t>7.51</t>
  </si>
  <si>
    <t>Tangible Book Value, 3 Yr. CAGR %</t>
  </si>
  <si>
    <t>-27.35</t>
  </si>
  <si>
    <t>-25.82</t>
  </si>
  <si>
    <t>21.45</t>
  </si>
  <si>
    <t>-53.18</t>
  </si>
  <si>
    <t>57.95</t>
  </si>
  <si>
    <t>23.05</t>
  </si>
  <si>
    <t>390.55</t>
  </si>
  <si>
    <t>24.89</t>
  </si>
  <si>
    <t>12.73</t>
  </si>
  <si>
    <t>7.36</t>
  </si>
  <si>
    <t>Common Equity, 3 Yr. CAGR %</t>
  </si>
  <si>
    <t>23.67</t>
  </si>
  <si>
    <t>24.08</t>
  </si>
  <si>
    <t>27.32</t>
  </si>
  <si>
    <t>29.91</t>
  </si>
  <si>
    <t>17.91</t>
  </si>
  <si>
    <t>13.37</t>
  </si>
  <si>
    <t>22.06</t>
  </si>
  <si>
    <t>0.47</t>
  </si>
  <si>
    <t>Cash From Operations, 3 Yr. CAGR %</t>
  </si>
  <si>
    <t>12.75</t>
  </si>
  <si>
    <t>-1.19</t>
  </si>
  <si>
    <t>29.89</t>
  </si>
  <si>
    <t>60.89</t>
  </si>
  <si>
    <t>59.15</t>
  </si>
  <si>
    <t>18.86</t>
  </si>
  <si>
    <t>16.96</t>
  </si>
  <si>
    <t>42.72</t>
  </si>
  <si>
    <t>13.16</t>
  </si>
  <si>
    <t>Capital Expenditures, 3 Yr. CAGR %</t>
  </si>
  <si>
    <t>60.27</t>
  </si>
  <si>
    <t>70.27</t>
  </si>
  <si>
    <t>34.38</t>
  </si>
  <si>
    <t>11.51</t>
  </si>
  <si>
    <t>9.24</t>
  </si>
  <si>
    <t>17.06</t>
  </si>
  <si>
    <t>12.43</t>
  </si>
  <si>
    <t>15.02</t>
  </si>
  <si>
    <t>29.13</t>
  </si>
  <si>
    <t>40.1</t>
  </si>
  <si>
    <t>Levered Free Cash Flow, 3 Yr. CAGR %</t>
  </si>
  <si>
    <t>19.91</t>
  </si>
  <si>
    <t>0.92</t>
  </si>
  <si>
    <t>31.24</t>
  </si>
  <si>
    <t>204.71</t>
  </si>
  <si>
    <t>17.72</t>
  </si>
  <si>
    <t>13.89</t>
  </si>
  <si>
    <t>13.48</t>
  </si>
  <si>
    <t>41.39</t>
  </si>
  <si>
    <t>11.8</t>
  </si>
  <si>
    <t>Unlevered Free Cash Flow, 3 Yr. CAGR %</t>
  </si>
  <si>
    <t>-23.13</t>
  </si>
  <si>
    <t>-2.37</t>
  </si>
  <si>
    <t>30.06</t>
  </si>
  <si>
    <t>151.71</t>
  </si>
  <si>
    <t>48.46</t>
  </si>
  <si>
    <t>17.99</t>
  </si>
  <si>
    <t>15.48</t>
  </si>
  <si>
    <t>15.16</t>
  </si>
  <si>
    <t>37.24</t>
  </si>
  <si>
    <t>16.89</t>
  </si>
  <si>
    <t>Compound Annual Growth Rate Over Five Years</t>
  </si>
  <si>
    <t>Total Revenues, 5 Yr. CAGR %</t>
  </si>
  <si>
    <t>16.47</t>
  </si>
  <si>
    <t>15.82</t>
  </si>
  <si>
    <t>16.12</t>
  </si>
  <si>
    <t>16.49</t>
  </si>
  <si>
    <t>10.35</t>
  </si>
  <si>
    <t>15.94</t>
  </si>
  <si>
    <t>21.4</t>
  </si>
  <si>
    <t>Gross Profit, 5 Yr. CAGR %</t>
  </si>
  <si>
    <t>9.11</t>
  </si>
  <si>
    <t>20.55</t>
  </si>
  <si>
    <t>19.97</t>
  </si>
  <si>
    <t>18.97</t>
  </si>
  <si>
    <t>18.56</t>
  </si>
  <si>
    <t>18.65</t>
  </si>
  <si>
    <t>11.02</t>
  </si>
  <si>
    <t>16.14</t>
  </si>
  <si>
    <t>21.65</t>
  </si>
  <si>
    <t>12.4</t>
  </si>
  <si>
    <t>EBITDA, 5 Yr. CAGR %</t>
  </si>
  <si>
    <t>12.2</t>
  </si>
  <si>
    <t>37.48</t>
  </si>
  <si>
    <t>32.56</t>
  </si>
  <si>
    <t>29.38</t>
  </si>
  <si>
    <t>26.28</t>
  </si>
  <si>
    <t>23.66</t>
  </si>
  <si>
    <t>11.64</t>
  </si>
  <si>
    <t>21.33</t>
  </si>
  <si>
    <t>26.11</t>
  </si>
  <si>
    <t>15.73</t>
  </si>
  <si>
    <t>EBITA, 5 Yr. CAGR %</t>
  </si>
  <si>
    <t>14.63</t>
  </si>
  <si>
    <t>45.74</t>
  </si>
  <si>
    <t>36.17</t>
  </si>
  <si>
    <t>30.94</t>
  </si>
  <si>
    <t>23.91</t>
  </si>
  <si>
    <t>10.28</t>
  </si>
  <si>
    <t>20.85</t>
  </si>
  <si>
    <t>27.88</t>
  </si>
  <si>
    <t>EBIT, 5 Yr. CAGR %</t>
  </si>
  <si>
    <t>15.27</t>
  </si>
  <si>
    <t>52.08</t>
  </si>
  <si>
    <t>38.47</t>
  </si>
  <si>
    <t>31.84</t>
  </si>
  <si>
    <t>22.08</t>
  </si>
  <si>
    <t>5.15</t>
  </si>
  <si>
    <t>20.06</t>
  </si>
  <si>
    <t>24.82</t>
  </si>
  <si>
    <t>11.2</t>
  </si>
  <si>
    <t>Earnings From Cont. Operations, 5 Yr. CAGR %</t>
  </si>
  <si>
    <t>-22.93</t>
  </si>
  <si>
    <t>9.19</t>
  </si>
  <si>
    <t>84.02</t>
  </si>
  <si>
    <t>52.05</t>
  </si>
  <si>
    <t>27.97</t>
  </si>
  <si>
    <t>-2.91</t>
  </si>
  <si>
    <t>25.34</t>
  </si>
  <si>
    <t>27.35</t>
  </si>
  <si>
    <t>8.25</t>
  </si>
  <si>
    <t>Net Income, 5 Yr. CAGR %</t>
  </si>
  <si>
    <t>9.51</t>
  </si>
  <si>
    <t>32.15</t>
  </si>
  <si>
    <t>50.56</t>
  </si>
  <si>
    <t>Normalized Net Income, 5 Yr. CAGR %</t>
  </si>
  <si>
    <t>23.6</t>
  </si>
  <si>
    <t>107.32</t>
  </si>
  <si>
    <t>66.13</t>
  </si>
  <si>
    <t>39.01</t>
  </si>
  <si>
    <t>27.43</t>
  </si>
  <si>
    <t>20.3</t>
  </si>
  <si>
    <t>-0.82</t>
  </si>
  <si>
    <t>19.94</t>
  </si>
  <si>
    <t>25.77</t>
  </si>
  <si>
    <t>Diluted EPS Before Extra, 5 Yr. CAGR %</t>
  </si>
  <si>
    <t>-28.72</t>
  </si>
  <si>
    <t>2.1</t>
  </si>
  <si>
    <t>81.22</t>
  </si>
  <si>
    <t>50.31</t>
  </si>
  <si>
    <t>33.35</t>
  </si>
  <si>
    <t>28.31</t>
  </si>
  <si>
    <t>-2.5</t>
  </si>
  <si>
    <t>25.93</t>
  </si>
  <si>
    <t>29.87</t>
  </si>
  <si>
    <t>12.99</t>
  </si>
  <si>
    <t>Accounts Receivable, 5 Yr. CAGR %</t>
  </si>
  <si>
    <t>19.13</t>
  </si>
  <si>
    <t>17.87</t>
  </si>
  <si>
    <t>18.26</t>
  </si>
  <si>
    <t>20.21</t>
  </si>
  <si>
    <t>14.65</t>
  </si>
  <si>
    <t>21.34</t>
  </si>
  <si>
    <t>19.26</t>
  </si>
  <si>
    <t>12.24</t>
  </si>
  <si>
    <t>Net Property, Plant and Equip., 5 Yr. CAGR %</t>
  </si>
  <si>
    <t>10.49</t>
  </si>
  <si>
    <t>28.88</t>
  </si>
  <si>
    <t>37.73</t>
  </si>
  <si>
    <t>33.71</t>
  </si>
  <si>
    <t>31.07</t>
  </si>
  <si>
    <t>20.9</t>
  </si>
  <si>
    <t>17.65</t>
  </si>
  <si>
    <t>Total Assets, 5 Yr. CAGR %</t>
  </si>
  <si>
    <t>9.39</t>
  </si>
  <si>
    <t>17.25</t>
  </si>
  <si>
    <t>19.37</t>
  </si>
  <si>
    <t>19.82</t>
  </si>
  <si>
    <t>23.19</t>
  </si>
  <si>
    <t>21.42</t>
  </si>
  <si>
    <t>18.16</t>
  </si>
  <si>
    <t>14.4</t>
  </si>
  <si>
    <t>Tangible Book Value, 5 Yr. CAGR %</t>
  </si>
  <si>
    <t>15.62</t>
  </si>
  <si>
    <t>-28.13</t>
  </si>
  <si>
    <t>1.02</t>
  </si>
  <si>
    <t>-41.92</t>
  </si>
  <si>
    <t>10.26</t>
  </si>
  <si>
    <t>80.43</t>
  </si>
  <si>
    <t>12.13</t>
  </si>
  <si>
    <t>134.79</t>
  </si>
  <si>
    <t>43.11</t>
  </si>
  <si>
    <t>Common Equity, 5 Yr. CAGR %</t>
  </si>
  <si>
    <t>17.78</t>
  </si>
  <si>
    <t>27.07</t>
  </si>
  <si>
    <t>25.3</t>
  </si>
  <si>
    <t>24.03</t>
  </si>
  <si>
    <t>23.49</t>
  </si>
  <si>
    <t>20.93</t>
  </si>
  <si>
    <t>5.4</t>
  </si>
  <si>
    <t>Cash From Operations, 5 Yr. CAGR %</t>
  </si>
  <si>
    <t>-22.46</t>
  </si>
  <si>
    <t>47.42</t>
  </si>
  <si>
    <t>46.84</t>
  </si>
  <si>
    <t>14.57</t>
  </si>
  <si>
    <t>30.42</t>
  </si>
  <si>
    <t>52.04</t>
  </si>
  <si>
    <t>35.46</t>
  </si>
  <si>
    <t>32.43</t>
  </si>
  <si>
    <t>Capital Expenditures, 5 Yr. CAGR %</t>
  </si>
  <si>
    <t>38.25</t>
  </si>
  <si>
    <t>45.32</t>
  </si>
  <si>
    <t>36.41</t>
  </si>
  <si>
    <t>37.12</t>
  </si>
  <si>
    <t>12.98</t>
  </si>
  <si>
    <t>19.53</t>
  </si>
  <si>
    <t>23.37</t>
  </si>
  <si>
    <t>Levered Free Cash Flow, 5 Yr. CAGR %</t>
  </si>
  <si>
    <t>-48.49</t>
  </si>
  <si>
    <t>46.92</t>
  </si>
  <si>
    <t>117.99</t>
  </si>
  <si>
    <t>16.22</t>
  </si>
  <si>
    <t>27.36</t>
  </si>
  <si>
    <t>115.59</t>
  </si>
  <si>
    <t>26.74</t>
  </si>
  <si>
    <t>16.3</t>
  </si>
  <si>
    <t>35.97</t>
  </si>
  <si>
    <t>Unlevered Free Cash Flow, 5 Yr. CAGR %</t>
  </si>
  <si>
    <t>-41.56</t>
  </si>
  <si>
    <t>67.43</t>
  </si>
  <si>
    <t>48.2</t>
  </si>
  <si>
    <t>26.64</t>
  </si>
  <si>
    <t>91.65</t>
  </si>
  <si>
    <t>28.11</t>
  </si>
  <si>
    <t>16.72</t>
  </si>
  <si>
    <t>33.17</t>
  </si>
  <si>
    <t>11.95</t>
  </si>
  <si>
    <t>2019</t>
  </si>
  <si>
    <t>2020</t>
  </si>
  <si>
    <t>2021</t>
  </si>
  <si>
    <t>2022</t>
  </si>
  <si>
    <t>2023</t>
  </si>
  <si>
    <t>2024</t>
  </si>
  <si>
    <t>2025</t>
  </si>
  <si>
    <t>2026</t>
  </si>
  <si>
    <t>Capitalization
                                    1</t>
  </si>
  <si>
    <t>2,911</t>
  </si>
  <si>
    <t>3,210</t>
  </si>
  <si>
    <t>5,783</t>
  </si>
  <si>
    <t>4,456</t>
  </si>
  <si>
    <t>2,830</t>
  </si>
  <si>
    <t>890.5</t>
  </si>
  <si>
    <t>-</t>
  </si>
  <si>
    <t>Change</t>
  </si>
  <si>
    <t>10.28%</t>
  </si>
  <si>
    <t>80.17%</t>
  </si>
  <si>
    <t>-22.95%</t>
  </si>
  <si>
    <t>-36.5%</t>
  </si>
  <si>
    <t>-68.53%</t>
  </si>
  <si>
    <t>Enterprise Value (EV)
                                    1</t>
  </si>
  <si>
    <t>3,445</t>
  </si>
  <si>
    <t>4,043</t>
  </si>
  <si>
    <t>6,445</t>
  </si>
  <si>
    <t>5,235</t>
  </si>
  <si>
    <t>4,033</t>
  </si>
  <si>
    <t>1,893</t>
  </si>
  <si>
    <t>1,785</t>
  </si>
  <si>
    <t>1,728</t>
  </si>
  <si>
    <t>17.38%</t>
  </si>
  <si>
    <t>59.39%</t>
  </si>
  <si>
    <t>-18.77%</t>
  </si>
  <si>
    <t>-22.97%</t>
  </si>
  <si>
    <t>-53.05%</t>
  </si>
  <si>
    <t>-5.69%</t>
  </si>
  <si>
    <t>-3.21%</t>
  </si>
  <si>
    <t>P/E ratio</t>
  </si>
  <si>
    <t>26x</t>
  </si>
  <si>
    <t>46.1x</t>
  </si>
  <si>
    <t>18x</t>
  </si>
  <si>
    <t>10.4x</t>
  </si>
  <si>
    <t>14x</t>
  </si>
  <si>
    <t>22.2x</t>
  </si>
  <si>
    <t>-66.8x</t>
  </si>
  <si>
    <t>88x</t>
  </si>
  <si>
    <t>PBR</t>
  </si>
  <si>
    <t>3.95x</t>
  </si>
  <si>
    <t>3.92x</t>
  </si>
  <si>
    <t>5.06x</t>
  </si>
  <si>
    <t>4.13x</t>
  </si>
  <si>
    <t>3.41x</t>
  </si>
  <si>
    <t>1.01x</t>
  </si>
  <si>
    <t>1.05x</t>
  </si>
  <si>
    <t>PEG</t>
  </si>
  <si>
    <t>-1.2x</t>
  </si>
  <si>
    <t>0x</t>
  </si>
  <si>
    <t>0.2x</t>
  </si>
  <si>
    <t>-0.3x</t>
  </si>
  <si>
    <t>1x</t>
  </si>
  <si>
    <t>-1x</t>
  </si>
  <si>
    <t>Capitalization / Revenue</t>
  </si>
  <si>
    <t>1.31x</t>
  </si>
  <si>
    <t>1.34x</t>
  </si>
  <si>
    <t>1.45x</t>
  </si>
  <si>
    <t>0.85x</t>
  </si>
  <si>
    <t>0.75x</t>
  </si>
  <si>
    <t>0.3x</t>
  </si>
  <si>
    <t>0.33x</t>
  </si>
  <si>
    <t>0.31x</t>
  </si>
  <si>
    <t>EV / Revenue</t>
  </si>
  <si>
    <t>1.55x</t>
  </si>
  <si>
    <t>1.69x</t>
  </si>
  <si>
    <t>1.62x</t>
  </si>
  <si>
    <t>1.06x</t>
  </si>
  <si>
    <t>0.64x</t>
  </si>
  <si>
    <t>0.67x</t>
  </si>
  <si>
    <t>0.61x</t>
  </si>
  <si>
    <t>EV / EBITDA</t>
  </si>
  <si>
    <t>12.4x</t>
  </si>
  <si>
    <t>12.6x</t>
  </si>
  <si>
    <t>10.1x</t>
  </si>
  <si>
    <t>6.18x</t>
  </si>
  <si>
    <t>6.96x</t>
  </si>
  <si>
    <t>5.72x</t>
  </si>
  <si>
    <t>7.62x</t>
  </si>
  <si>
    <t>EV / EBIT</t>
  </si>
  <si>
    <t>19.5x</t>
  </si>
  <si>
    <t>27.1x</t>
  </si>
  <si>
    <t>13.5x</t>
  </si>
  <si>
    <t>8.09x</t>
  </si>
  <si>
    <t>11.9x</t>
  </si>
  <si>
    <t>16.6x</t>
  </si>
  <si>
    <t>42.8x</t>
  </si>
  <si>
    <t>27.6x</t>
  </si>
  <si>
    <t>EV / FCF</t>
  </si>
  <si>
    <t>18.2x</t>
  </si>
  <si>
    <t>18.5x</t>
  </si>
  <si>
    <t>25.6x</t>
  </si>
  <si>
    <t>9.06x</t>
  </si>
  <si>
    <t>15x</t>
  </si>
  <si>
    <t>9.17x</t>
  </si>
  <si>
    <t>13.4x</t>
  </si>
  <si>
    <t>FCF Yield</t>
  </si>
  <si>
    <t>5.51%</t>
  </si>
  <si>
    <t>5.42%</t>
  </si>
  <si>
    <t>3.91%</t>
  </si>
  <si>
    <t>11%</t>
  </si>
  <si>
    <t>6.66%</t>
  </si>
  <si>
    <t>10.9%</t>
  </si>
  <si>
    <t>7.45%</t>
  </si>
  <si>
    <t>Dividend per Share
                                    2</t>
  </si>
  <si>
    <t>Rate of return</t>
  </si>
  <si>
    <t>EPS
                                    2</t>
  </si>
  <si>
    <t>1.051</t>
  </si>
  <si>
    <t>-0.3501</t>
  </si>
  <si>
    <t>0.2657</t>
  </si>
  <si>
    <t>Distribution rate</t>
  </si>
  <si>
    <t>Net sales
                                    1</t>
  </si>
  <si>
    <t>2,222</t>
  </si>
  <si>
    <t>2,394</t>
  </si>
  <si>
    <t>3,984</t>
  </si>
  <si>
    <t>5,243</t>
  </si>
  <si>
    <t>3,789</t>
  </si>
  <si>
    <t>2,943</t>
  </si>
  <si>
    <t>2,683</t>
  </si>
  <si>
    <t>2,832</t>
  </si>
  <si>
    <t>EBITDA
                                    1</t>
  </si>
  <si>
    <t>277.4</t>
  </si>
  <si>
    <t>320.7</t>
  </si>
  <si>
    <t>635.4</t>
  </si>
  <si>
    <t>846.7</t>
  </si>
  <si>
    <t>579.1</t>
  </si>
  <si>
    <t>330.8</t>
  </si>
  <si>
    <t>234.3</t>
  </si>
  <si>
    <t>279.6</t>
  </si>
  <si>
    <t>EBIT
                                    1</t>
  </si>
  <si>
    <t>176.9</t>
  </si>
  <si>
    <t>149.3</t>
  </si>
  <si>
    <t>478</t>
  </si>
  <si>
    <t>647.1</t>
  </si>
  <si>
    <t>338.4</t>
  </si>
  <si>
    <t>113.9</t>
  </si>
  <si>
    <t>41.75</t>
  </si>
  <si>
    <t>62.64</t>
  </si>
  <si>
    <t>Net income
                                    1</t>
  </si>
  <si>
    <t>114</t>
  </si>
  <si>
    <t>70.66</t>
  </si>
  <si>
    <t>327.4</t>
  </si>
  <si>
    <t>444</t>
  </si>
  <si>
    <t>210.7</t>
  </si>
  <si>
    <t>40.9</t>
  </si>
  <si>
    <t>20</t>
  </si>
  <si>
    <t>Net Debt
                                    1</t>
  </si>
  <si>
    <t>534.2</t>
  </si>
  <si>
    <t>833.4</t>
  </si>
  <si>
    <t>661.4</t>
  </si>
  <si>
    <t>779</t>
  </si>
  <si>
    <t>1,203</t>
  </si>
  <si>
    <t>1,003</t>
  </si>
  <si>
    <t>894.9</t>
  </si>
  <si>
    <t>837.5</t>
  </si>
  <si>
    <t>Reference price
                                    2</t>
  </si>
  <si>
    <t>62.31</t>
  </si>
  <si>
    <t>68.25</t>
  </si>
  <si>
    <t>122.33</t>
  </si>
  <si>
    <t>102.82</t>
  </si>
  <si>
    <t>74.88</t>
  </si>
  <si>
    <t>23.39</t>
  </si>
  <si>
    <t>Nbr of stocks (in thousands)</t>
  </si>
  <si>
    <t>46,711</t>
  </si>
  <si>
    <t>47,031</t>
  </si>
  <si>
    <t>47,275</t>
  </si>
  <si>
    <t>43,336</t>
  </si>
  <si>
    <t>37,789</t>
  </si>
  <si>
    <t>38,074</t>
  </si>
  <si>
    <t>Announcement Date</t>
  </si>
  <si>
    <t>2/13/20</t>
  </si>
  <si>
    <t>2/18/21</t>
  </si>
  <si>
    <t>2/17/22</t>
  </si>
  <si>
    <t>2/16/23</t>
  </si>
  <si>
    <t>2/15/24</t>
  </si>
  <si>
    <t>address1</t>
  </si>
  <si>
    <t>8840 Cypress Waters Boulevard</t>
  </si>
  <si>
    <t>address2</t>
  </si>
  <si>
    <t>Suite 300</t>
  </si>
  <si>
    <t>city</t>
  </si>
  <si>
    <t>Dallas</t>
  </si>
  <si>
    <t>state</t>
  </si>
  <si>
    <t>TX</t>
  </si>
  <si>
    <t>zip</t>
  </si>
  <si>
    <t>75019</t>
  </si>
  <si>
    <t>country</t>
  </si>
  <si>
    <t>phone</t>
  </si>
  <si>
    <t>866 871 8519</t>
  </si>
  <si>
    <t>website</t>
  </si>
  <si>
    <t>https://www.amnhealthcare.com</t>
  </si>
  <si>
    <t>industry</t>
  </si>
  <si>
    <t>Medical Care Facilities</t>
  </si>
  <si>
    <t>industryKey</t>
  </si>
  <si>
    <t>medical-care-facilities</t>
  </si>
  <si>
    <t>industryDisp</t>
  </si>
  <si>
    <t>sector</t>
  </si>
  <si>
    <t>Healthcare</t>
  </si>
  <si>
    <t>sectorKey</t>
  </si>
  <si>
    <t>healthcare</t>
  </si>
  <si>
    <t>sectorDisp</t>
  </si>
  <si>
    <t>longBusinessSummary</t>
  </si>
  <si>
    <t>AMN Healthcare Services, Inc. provides healthcare workforce solutions and staffing services to healthcare facilities in the United States. It operates through three segments: Nurse and Allied Solutions, Physician and Leadership Solutions, and Technology and Workforce Solutions. The Nurse and Allied Solutions segment offers travel nurse staffing, labor disruption staffing, local staffing, international nurse and allied permanent placement, and allied staffing solutions. The Physician and Leadership Solutions segment provides locum tenens staffing, healthcare interim leadership staffing, executive search, and physician permanent placement solutions. The Technology and Workforce Solutions segment offers language services, vendor management systems, workforce optimization, and outsourced solutions. The company also provides allied health professionals, such as physical therapists, respiratory therapists, occupational therapists, medical and radiology technologists, lab technicians, speech pathologists, rehabilitation assistants, and pharmacists. It offers its services under the brands, including AMN Healthcare, Nursefinders, HealthSource Global Staffing, O'Grady Peyton International, Connetics, Medical Search International, DRW Healthcare Staffing, and B.E. Smith. AMN Healthcare Services, Inc. was founded in 1985 and is headquartered in Dallas, Texas.</t>
  </si>
  <si>
    <t>fullTimeEmployees</t>
  </si>
  <si>
    <t>companyOfficers</t>
  </si>
  <si>
    <t>[{'maxAge': 1, 'name': 'Ms. Caroline Sullivan Grace', 'age': 54, 'title': 'President, CEO &amp; Director', 'yearBorn': 1969, 'fiscalYear': 2023, 'totalPay': 1888285, 'exercisedValue': 0, 'unexercisedValue': 0}, {'maxAge': 1, 'name': 'Mr. Jeffrey R. Knudson', 'age': 48, 'title': 'Chief Accounting Officer &amp; Treasurer', 'yearBorn': 1975, 'fiscalYear': 2023, 'totalPay': 1059237, 'exercisedValue': 0, 'unexercisedValue': 0}, {'maxAge': 1, 'name': 'Mr. Mark Christopher Hagan', 'age': 54, 'title': 'Chief Information &amp; Digital Officer', 'yearBorn': 1969, 'fiscalYear': 2023, 'totalPay': 947508, 'exercisedValue': 0, 'unexercisedValue': 0}, {'maxAge': 1, 'name': 'Ms. Whitney M. Laughlin', 'title': 'Corporate Secretary &amp; Chief Legal Officer', 'fiscalYear': 2023, 'totalPay': 498658, 'exercisedValue': 0, 'unexercisedValue': 0}, {'maxAge': 1, 'name': 'Mr. Brian M. Scott', 'age': 53, 'title': 'CFO &amp; COO', 'yearBorn': 1970, 'fiscalYear': 2023, 'totalPay': 613176, 'exercisedValue': 0, 'unexercisedValue': 0}, {'maxAge': 1, 'name': 'Mr. Nishan  Sivathasan', 'title': 'Division President of Technology and Workforce Solutions', 'fiscalYear': 2023, 'exercisedValue': 0, 'unexercisedValue': 0}, {'maxAge': 1, 'name': 'Mr. Randle G. Reece', 'title': 'Senior Director of Investor Relations &amp; Strategy', 'fiscalYear': 2023, 'exercisedValue': 0, 'unexercisedValue': 0}, {'maxAge': 1, 'name': 'Ms. Carolyn Marie Kenny', 'title': 'Chief People Officer', 'fiscalYear': 2023, 'exercisedValue': 0, 'unexercisedValue': 0}, {'maxAge': 1, 'name': 'Mr. Jeff  Decker', 'title': 'Division President of Physician &amp; Leadership Solutions', 'fiscalYear': 2023, 'exercisedValue': 0, 'unexercisedValue': 0}, {'maxAge': 1, 'name': 'Ms. Robin  Johnson', 'title': 'Group President of Nursing &amp; Allied Solutions', 'fiscalYear': 2023, 'exercisedValue': 0, 'unexercisedValue': 0}]</t>
  </si>
  <si>
    <t>auditRisk</t>
  </si>
  <si>
    <t>boardRisk</t>
  </si>
  <si>
    <t>compensationRisk</t>
  </si>
  <si>
    <t>shareHolderRightsRisk</t>
  </si>
  <si>
    <t>overallRisk</t>
  </si>
  <si>
    <t>governanceEpochDate</t>
  </si>
  <si>
    <t>compensationAsOfEpochDate</t>
  </si>
  <si>
    <t>irWebsite</t>
  </si>
  <si>
    <t>http://amnhealthcare.investorroom.com/</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</si>
  <si>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</si>
  <si>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</si>
  <si>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</si>
  <si>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</si>
  <si>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</si>
  <si>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</si>
  <si>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</si>
  <si>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</si>
  <si>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</si>
  <si>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</si>
  <si>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</si>
  <si>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</si>
  <si>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</si>
  <si>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</si>
  <si>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</si>
  <si>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</si>
  <si>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</si>
  <si>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</si>
  <si>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</si>
  <si>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</si>
  <si>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</si>
  <si>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</si>
  <si>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</si>
  <si>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</si>
  <si>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</si>
  <si>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</si>
  <si>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</si>
  <si>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</si>
  <si>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</si>
  <si>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</si>
  <si>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</si>
  <si>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</si>
  <si>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</si>
  <si>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</si>
  <si>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</si>
  <si>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</si>
  <si>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</si>
  <si>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</si>
  <si>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</si>
  <si>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</si>
  <si>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</si>
  <si>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</si>
  <si>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</si>
  <si>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</si>
  <si>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</si>
  <si>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</si>
  <si>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</si>
  <si>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</si>
  <si>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</si>
  <si>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</si>
  <si>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</si>
  <si>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</si>
  <si>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</si>
  <si>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</si>
  <si>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</si>
  <si>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</si>
  <si>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</si>
  <si>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</si>
  <si>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</si>
  <si>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</si>
  <si>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</si>
  <si>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</si>
  <si>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AMN Healthcare Services Inc</t>
  </si>
  <si>
    <t>longName</t>
  </si>
  <si>
    <t>AMN Healthcare Services, Inc.</t>
  </si>
  <si>
    <t>firstTradeDateEpochUtc</t>
  </si>
  <si>
    <t>timeZoneFullName</t>
  </si>
  <si>
    <t>America/New_York</t>
  </si>
  <si>
    <t>timeZoneShortName</t>
  </si>
  <si>
    <t>EST</t>
  </si>
  <si>
    <t>uuid</t>
  </si>
  <si>
    <t>bb89d026-953a-35b6-84b5-5689ccabee5e</t>
  </si>
  <si>
    <t>messageBoardId</t>
  </si>
  <si>
    <t>finmb_24821</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</si>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</sst>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2">
    <numFmt numFmtId="164" formatCode="M/d/yyyy"/>
    <numFmt numFmtId="165" formatCode="&quot;$&quot;#,##0.00"/>
  </numFmts>
  <fonts count="7">
    <font>
      <sz val="11.0"/>
      <color theme="1"/>
      <name val="Calibri"/>
      <scheme val="minor"/>
    </font>
    <font>
      <color theme="1"/>
      <name val="Calibri"/>
    </font>
    <font>
      <sz val="11.0"/>
      <color theme="1"/>
      <name val="Calibri"/>
    </font>
    <font>
      <b/>
      <sz val="11.0"/>
      <color theme="1"/>
      <name val="Calibri"/>
    </font>
    <font>
      <b/>
      <sz val="11.0"/>
      <color rgb="FFFFFFFF"/>
      <name val="Calibri"/>
    </font>
    <font>
      <u/>
      <sz val="11.0"/>
      <color theme="10"/>
      <name val="Calibri"/>
    </font>
    <font>
      <color theme="1"/>
      <name val="Calibri"/>
      <scheme val="minor"/>
    </font>
  </fonts>
  <fills count="5">
    <fill>
      <patternFill patternType="none"/>
    </fill>
    <fill>
      <patternFill patternType="lightGray"/>
    </fill>
    <fill>
      <patternFill patternType="solid">
        <fgColor rgb="FFFF0000"/>
        <bgColor rgb="FFFF0000"/>
      </patternFill>
    </fill>
    <fill>
      <patternFill patternType="solid">
        <fgColor rgb="FF9900FF"/>
        <bgColor rgb="FF9900FF"/>
      </patternFill>
    </fill>
    <fill>
      <patternFill patternType="solid">
        <fgColor rgb="FFFAF9F9"/>
        <bgColor rgb="FFFAF9F9"/>
      </patternFill>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19">
    <xf borderId="0" fillId="0" fontId="0" numFmtId="0" xfId="0" applyAlignment="1" applyFont="1">
      <alignment readingOrder="0" shrinkToFit="0" vertical="bottom" wrapText="0"/>
    </xf>
    <xf borderId="0" fillId="0" fontId="1" numFmtId="0" xfId="0" applyFont="1"/>
    <xf borderId="0" fillId="0" fontId="2" numFmtId="0" xfId="0" applyFont="1"/>
    <xf borderId="0" fillId="0" fontId="2" numFmtId="49" xfId="0" applyAlignment="1" applyFont="1" applyNumberFormat="1">
      <alignment vertical="bottom"/>
    </xf>
    <xf borderId="0" fillId="0" fontId="3" numFmtId="49" xfId="0" applyAlignment="1" applyFont="1" applyNumberFormat="1">
      <alignment horizontal="center" vertical="bottom"/>
    </xf>
    <xf borderId="0" fillId="2" fontId="4" numFmtId="49" xfId="0" applyAlignment="1" applyFill="1" applyFont="1" applyNumberFormat="1">
      <alignment horizontal="center" vertical="bottom"/>
    </xf>
    <xf borderId="0" fillId="3" fontId="2" numFmtId="10" xfId="0" applyAlignment="1" applyFill="1" applyFont="1" applyNumberFormat="1">
      <alignment vertical="bottom"/>
    </xf>
    <xf borderId="0" fillId="0" fontId="2" numFmtId="10" xfId="0" applyAlignment="1" applyFont="1" applyNumberFormat="1">
      <alignment horizontal="center" vertical="bottom"/>
    </xf>
    <xf borderId="0" fillId="3" fontId="4" numFmtId="10" xfId="0" applyAlignment="1" applyFont="1" applyNumberFormat="1">
      <alignment horizontal="center" vertical="bottom"/>
    </xf>
    <xf borderId="0" fillId="0" fontId="2" numFmtId="10" xfId="0" applyAlignment="1" applyFont="1" applyNumberFormat="1">
      <alignment vertical="bottom"/>
    </xf>
    <xf borderId="0" fillId="0" fontId="2" numFmtId="49" xfId="0" applyAlignment="1" applyFont="1" applyNumberFormat="1">
      <alignment horizontal="center" vertical="bottom"/>
    </xf>
    <xf borderId="0" fillId="0" fontId="2" numFmtId="164" xfId="0" applyAlignment="1" applyFont="1" applyNumberFormat="1">
      <alignment horizontal="right" vertical="bottom"/>
    </xf>
    <xf borderId="0" fillId="0" fontId="2" numFmtId="164" xfId="0" applyAlignment="1" applyFont="1" applyNumberFormat="1">
      <alignment horizontal="center" vertical="bottom"/>
    </xf>
    <xf borderId="0" fillId="0" fontId="2" numFmtId="164" xfId="0" applyAlignment="1" applyFont="1" applyNumberFormat="1">
      <alignment vertical="bottom"/>
    </xf>
    <xf borderId="0" fillId="4" fontId="2" numFmtId="0" xfId="0" applyAlignment="1" applyFill="1" applyFont="1">
      <alignment vertical="bottom"/>
    </xf>
    <xf borderId="1" fillId="0" fontId="3" numFmtId="0" xfId="0" applyAlignment="1" applyBorder="1" applyFont="1">
      <alignment horizontal="center" vertical="top"/>
    </xf>
    <xf borderId="0" fillId="0" fontId="5" numFmtId="0" xfId="0" applyFont="1"/>
    <xf borderId="0" fillId="0" fontId="6" numFmtId="0" xfId="0" applyFont="1"/>
    <xf borderId="0" fillId="0" fontId="1" numFmtId="165"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4" Type="http://schemas.openxmlformats.org/officeDocument/2006/relationships/worksheet" Target="worksheets/sheet1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hyperlink" Target="https://www.amnhealthcare.com/" TargetMode="External"/><Relationship Id="rId2" Type="http://schemas.openxmlformats.org/officeDocument/2006/relationships/hyperlink" Target="http://amnhealthcare.investorroom.com/" TargetMode="External"/><Relationship Id="rId3"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23.1</v>
      </c>
      <c r="C4" s="2"/>
      <c r="D4" s="2"/>
      <c r="E4" s="2"/>
      <c r="F4" s="2"/>
      <c r="G4" s="2"/>
      <c r="H4" s="2"/>
      <c r="I4" s="2"/>
      <c r="J4" s="2"/>
      <c r="K4" s="2"/>
      <c r="L4" s="2"/>
      <c r="M4" s="2"/>
      <c r="N4" s="2"/>
      <c r="O4" s="2"/>
      <c r="P4" s="2"/>
      <c r="Q4" s="2"/>
      <c r="R4" s="2"/>
      <c r="S4" s="2"/>
      <c r="T4" s="2"/>
      <c r="U4" s="2"/>
      <c r="V4" s="2"/>
      <c r="W4" s="2"/>
      <c r="X4" s="2"/>
      <c r="Y4" s="2"/>
      <c r="Z4" s="2"/>
    </row>
    <row r="5">
      <c r="A5" s="1" t="s">
        <v>7</v>
      </c>
      <c r="B5" s="1">
        <v>337.0574501318302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8.90543808E8</v>
      </c>
      <c r="C8" s="2"/>
      <c r="D8" s="2"/>
      <c r="E8" s="2"/>
      <c r="F8" s="2"/>
      <c r="G8" s="2"/>
      <c r="H8" s="2"/>
      <c r="I8" s="2"/>
      <c r="J8" s="2"/>
      <c r="K8" s="2"/>
      <c r="L8" s="2"/>
      <c r="M8" s="2"/>
      <c r="N8" s="2"/>
      <c r="O8" s="2"/>
      <c r="P8" s="2"/>
      <c r="Q8" s="2"/>
      <c r="R8" s="2"/>
      <c r="S8" s="2"/>
      <c r="T8" s="2"/>
      <c r="U8" s="2"/>
      <c r="V8" s="2"/>
      <c r="W8" s="2"/>
      <c r="X8" s="2"/>
      <c r="Y8" s="2"/>
      <c r="Z8" s="2"/>
    </row>
    <row r="9">
      <c r="A9" s="1" t="s">
        <v>13</v>
      </c>
      <c r="B9" s="1">
        <v>23.427</v>
      </c>
      <c r="C9" s="2"/>
      <c r="D9" s="2"/>
      <c r="E9" s="2"/>
      <c r="F9" s="2"/>
      <c r="G9" s="2"/>
      <c r="H9" s="2"/>
      <c r="I9" s="2"/>
      <c r="J9" s="2"/>
      <c r="K9" s="2"/>
      <c r="L9" s="2"/>
      <c r="M9" s="2"/>
      <c r="N9" s="2"/>
      <c r="O9" s="2"/>
      <c r="P9" s="2"/>
      <c r="Q9" s="2"/>
      <c r="R9" s="2"/>
      <c r="S9" s="2"/>
      <c r="T9" s="2"/>
      <c r="U9" s="2"/>
      <c r="V9" s="2"/>
      <c r="W9" s="2"/>
      <c r="X9" s="2"/>
      <c r="Y9" s="2"/>
      <c r="Z9" s="2"/>
    </row>
    <row r="10">
      <c r="A10" s="1" t="s">
        <v>14</v>
      </c>
      <c r="B10" s="1">
        <v>12.891668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4.43" defaultRowHeight="15.0"/>
  <cols>
    <col customWidth="1" min="1" max="6" width="14.43"/>
  </cols>
  <sheetData>
    <row r="1">
      <c r="A1" s="3"/>
      <c r="B1" s="3"/>
      <c r="C1" s="3"/>
      <c r="D1" s="3"/>
      <c r="E1" s="3"/>
      <c r="F1" s="3"/>
      <c r="G1" s="3"/>
      <c r="H1" s="3"/>
      <c r="I1" s="4" t="s">
        <v>17</v>
      </c>
      <c r="J1" s="5" t="str">
        <f>Data!B1</f>
        <v>AMN</v>
      </c>
      <c r="K1" s="3"/>
      <c r="L1" s="3"/>
      <c r="M1" s="3"/>
      <c r="N1" s="3"/>
      <c r="O1" s="3"/>
      <c r="P1" s="3"/>
      <c r="Q1" s="3"/>
      <c r="R1" s="3"/>
      <c r="S1" s="3"/>
      <c r="T1" s="3"/>
      <c r="U1" s="3"/>
      <c r="V1" s="3"/>
      <c r="W1" s="3"/>
      <c r="X1" s="3"/>
      <c r="Y1" s="3"/>
      <c r="Z1" s="3"/>
      <c r="AA1" s="3"/>
      <c r="AB1" s="3"/>
      <c r="AC1" s="3"/>
      <c r="AD1" s="3"/>
    </row>
    <row r="2">
      <c r="A2" s="6"/>
      <c r="B2" s="7">
        <f>IF(B3&gt;0,B3,0)</f>
        <v>0.0870740941</v>
      </c>
      <c r="C2" s="6"/>
      <c r="D2" s="7">
        <f>IF(D3&gt;0,D3,0)</f>
        <v>0.02595070997</v>
      </c>
      <c r="E2" s="6"/>
      <c r="F2" s="7">
        <f>IF(F3&gt;0,F3,0)</f>
        <v>0.01397712834</v>
      </c>
      <c r="G2" s="6"/>
      <c r="H2" s="7">
        <f>IF(H3&gt;0,H3,0)</f>
        <v>0.00150225338</v>
      </c>
      <c r="I2" s="8">
        <f>MEDIAN(J2,L2,N2,P2,R2,T2,V29,H2,F2,D2,B2,V2)</f>
        <v>0.01397712834</v>
      </c>
      <c r="J2" s="7">
        <f>IF(J3&gt;0,J3,0)</f>
        <v>0</v>
      </c>
      <c r="K2" s="9"/>
      <c r="L2" s="7">
        <f>IF(L3&gt;0,L3,0)</f>
        <v>0.01884010485</v>
      </c>
      <c r="M2" s="9"/>
      <c r="N2" s="7">
        <f>IF(N3&gt;0,N3,0)</f>
        <v>0.00894790013</v>
      </c>
      <c r="O2" s="9"/>
      <c r="P2" s="7">
        <f>IF(P3&gt;0,P3,0)</f>
        <v>0.05497236385</v>
      </c>
      <c r="Q2" s="9"/>
      <c r="R2" s="7">
        <f>IF(R3&gt;0,R3,0)</f>
        <v>0</v>
      </c>
      <c r="S2" s="9"/>
      <c r="T2" s="7">
        <f>IF(T3&gt;0,T3,0)</f>
        <v>0.04335818835</v>
      </c>
      <c r="U2" s="9"/>
      <c r="V2" s="7">
        <f>IF(V3&gt;0,V3,0)</f>
        <v>0</v>
      </c>
      <c r="W2" s="9"/>
      <c r="X2" s="9"/>
      <c r="Y2" s="9"/>
      <c r="Z2" s="9"/>
      <c r="AA2" s="9"/>
      <c r="AB2" s="9"/>
      <c r="AC2" s="9"/>
      <c r="AD2" s="9"/>
    </row>
    <row r="3">
      <c r="A3" s="7" t="s">
        <v>18</v>
      </c>
      <c r="B3" s="7">
        <f>B4/B5-1</f>
        <v>0.0870740941</v>
      </c>
      <c r="C3" s="9"/>
      <c r="D3" s="7">
        <f>D4/D5-1</f>
        <v>0.02595070997</v>
      </c>
      <c r="E3" s="9"/>
      <c r="F3" s="7">
        <f>F4/F5-1</f>
        <v>0.01397712834</v>
      </c>
      <c r="G3" s="9"/>
      <c r="H3" s="7">
        <f>H4/H5-1</f>
        <v>0.00150225338</v>
      </c>
      <c r="I3" s="7" t="s">
        <v>18</v>
      </c>
      <c r="J3" s="7">
        <f>J4/J5-1</f>
        <v>-0.003661087866</v>
      </c>
      <c r="K3" s="9"/>
      <c r="L3" s="7">
        <f>L4/L5-1</f>
        <v>0.01884010485</v>
      </c>
      <c r="M3" s="9"/>
      <c r="N3" s="7">
        <f>N4/N5-1</f>
        <v>0.00894790013</v>
      </c>
      <c r="O3" s="9"/>
      <c r="P3" s="7">
        <f>P4/P5-1</f>
        <v>0.05497236385</v>
      </c>
      <c r="Q3" s="9"/>
      <c r="R3" s="7">
        <f>R4/R5-1</f>
        <v>-0.04423235753</v>
      </c>
      <c r="S3" s="9"/>
      <c r="T3" s="7">
        <f>T4/T5-1</f>
        <v>0.04335818835</v>
      </c>
      <c r="U3" s="9"/>
      <c r="V3" s="7">
        <f>V4/V5-1</f>
        <v>-0.08138658628</v>
      </c>
      <c r="W3" s="9"/>
      <c r="X3" s="9"/>
      <c r="Y3" s="9"/>
      <c r="Z3" s="9"/>
      <c r="AA3" s="9"/>
      <c r="AB3" s="9"/>
      <c r="AC3" s="9"/>
      <c r="AD3" s="9"/>
    </row>
    <row r="4">
      <c r="A4" s="10" t="s">
        <v>19</v>
      </c>
      <c r="B4" s="3">
        <f>B26</f>
        <v>20.1</v>
      </c>
      <c r="C4" s="3"/>
      <c r="D4" s="3">
        <f>D26</f>
        <v>31.43</v>
      </c>
      <c r="E4" s="3"/>
      <c r="F4" s="3">
        <f>F26</f>
        <v>39.9</v>
      </c>
      <c r="G4" s="3"/>
      <c r="H4" s="3">
        <f>H26</f>
        <v>50</v>
      </c>
      <c r="I4" s="10" t="s">
        <v>19</v>
      </c>
      <c r="J4" s="3">
        <f>J25</f>
        <v>57.15</v>
      </c>
      <c r="K4" s="3"/>
      <c r="L4" s="3">
        <f>L26</f>
        <v>62.19</v>
      </c>
      <c r="M4" s="3"/>
      <c r="N4" s="3">
        <f>N26</f>
        <v>69.91</v>
      </c>
      <c r="O4" s="3"/>
      <c r="P4" s="3">
        <f>P26</f>
        <v>123.11</v>
      </c>
      <c r="Q4" s="3"/>
      <c r="R4" s="3">
        <f>R26</f>
        <v>104.15</v>
      </c>
      <c r="S4" s="3"/>
      <c r="T4" s="3">
        <f>T26</f>
        <v>75.56</v>
      </c>
      <c r="U4" s="3"/>
      <c r="V4" s="3">
        <f>V26</f>
        <v>24.38</v>
      </c>
      <c r="W4" s="3"/>
      <c r="X4" s="3"/>
      <c r="Y4" s="3"/>
      <c r="Z4" s="3"/>
      <c r="AA4" s="3"/>
      <c r="AB4" s="3"/>
      <c r="AC4" s="3"/>
      <c r="AD4" s="3"/>
    </row>
    <row r="5">
      <c r="A5" s="10" t="s">
        <v>20</v>
      </c>
      <c r="B5" s="10">
        <f>MEDIAN(B7:B257)</f>
        <v>18.49</v>
      </c>
      <c r="C5" s="3"/>
      <c r="D5" s="10">
        <f>MEDIAN(D7:D257)</f>
        <v>30.635</v>
      </c>
      <c r="E5" s="3"/>
      <c r="F5" s="10">
        <f>MEDIAN(F7:F257)</f>
        <v>39.35</v>
      </c>
      <c r="G5" s="3"/>
      <c r="H5" s="10">
        <f>MEDIAN(H7:H257)</f>
        <v>49.925</v>
      </c>
      <c r="I5" s="10" t="s">
        <v>20</v>
      </c>
      <c r="J5" s="10">
        <f>MEDIAN(J7:J257)</f>
        <v>57.36</v>
      </c>
      <c r="K5" s="3"/>
      <c r="L5" s="10">
        <f>MEDIAN(L7:L257)</f>
        <v>61.04</v>
      </c>
      <c r="M5" s="3"/>
      <c r="N5" s="10">
        <f>MEDIAN(N7:N257)</f>
        <v>69.29</v>
      </c>
      <c r="O5" s="3"/>
      <c r="P5" s="10">
        <f>MEDIAN(P7:P257)</f>
        <v>116.695</v>
      </c>
      <c r="Q5" s="3"/>
      <c r="R5" s="10">
        <f>MEDIAN(R7:R257)</f>
        <v>108.97</v>
      </c>
      <c r="S5" s="3"/>
      <c r="T5" s="10">
        <f>MEDIAN(T7:T257)</f>
        <v>72.42</v>
      </c>
      <c r="U5" s="3"/>
      <c r="V5" s="10">
        <f>MEDIAN(V7:V257)</f>
        <v>26.54</v>
      </c>
      <c r="W5" s="3"/>
      <c r="X5" s="3"/>
      <c r="Y5" s="3"/>
      <c r="Z5" s="3"/>
      <c r="AA5" s="3"/>
      <c r="AB5" s="3"/>
      <c r="AC5" s="3"/>
      <c r="AD5" s="3"/>
    </row>
    <row r="6">
      <c r="A6" s="10" t="str">
        <f>IFERROR(__xludf.DUMMYFUNCTION("GoogleFinance(J1,""high"",date(2014, 12, 1),date(2014, 12, 31),1)"),"Date")</f>
        <v>Date</v>
      </c>
      <c r="B6" s="3" t="str">
        <f>IFERROR(__xludf.DUMMYFUNCTION("""COMPUTED_VALUE"""),"High")</f>
        <v>High</v>
      </c>
      <c r="C6" s="10" t="str">
        <f>IFERROR(__xludf.DUMMYFUNCTION("GoogleFinance(J1,""high"",date(2015, 12, 1),date(2015, 12, 31),1)"),"Date")</f>
        <v>Date</v>
      </c>
      <c r="D6" s="3" t="str">
        <f>IFERROR(__xludf.DUMMYFUNCTION("""COMPUTED_VALUE"""),"High")</f>
        <v>High</v>
      </c>
      <c r="E6" s="10" t="str">
        <f>IFERROR(__xludf.DUMMYFUNCTION("GoogleFinance(J1,""high"",date(2016, 12, 1),date(2016, 12, 31),1)"),"Date")</f>
        <v>Date</v>
      </c>
      <c r="F6" s="3" t="str">
        <f>IFERROR(__xludf.DUMMYFUNCTION("""COMPUTED_VALUE"""),"High")</f>
        <v>High</v>
      </c>
      <c r="G6" s="10" t="str">
        <f>IFERROR(__xludf.DUMMYFUNCTION("GoogleFinance(J1,""high"",date(2017, 12, 1),date(2017, 12, 31),1)"),"Date")</f>
        <v>Date</v>
      </c>
      <c r="H6" s="3" t="str">
        <f>IFERROR(__xludf.DUMMYFUNCTION("""COMPUTED_VALUE"""),"High")</f>
        <v>High</v>
      </c>
      <c r="I6" s="10" t="str">
        <f>IFERROR(__xludf.DUMMYFUNCTION("GoogleFinance(J1,""high"",date(2018, 12, 1),date(2018, 12, 31),1)"),"Date")</f>
        <v>Date</v>
      </c>
      <c r="J6" s="3" t="str">
        <f>IFERROR(__xludf.DUMMYFUNCTION("""COMPUTED_VALUE"""),"High")</f>
        <v>High</v>
      </c>
      <c r="K6" s="10" t="str">
        <f>IFERROR(__xludf.DUMMYFUNCTION("GoogleFinance(J1,""high"",date(2019, 12, 1),date(2019, 12, 31),1)"),"Date")</f>
        <v>Date</v>
      </c>
      <c r="L6" s="3" t="str">
        <f>IFERROR(__xludf.DUMMYFUNCTION("""COMPUTED_VALUE"""),"High")</f>
        <v>High</v>
      </c>
      <c r="M6" s="10" t="str">
        <f>IFERROR(__xludf.DUMMYFUNCTION("GoogleFinance(J1,""high"",date(2020, 12, 1),date(2020, 12, 31),1)"),"Date")</f>
        <v>Date</v>
      </c>
      <c r="N6" s="3" t="str">
        <f>IFERROR(__xludf.DUMMYFUNCTION("""COMPUTED_VALUE"""),"High")</f>
        <v>High</v>
      </c>
      <c r="O6" s="10" t="str">
        <f>IFERROR(__xludf.DUMMYFUNCTION("GoogleFinance(J1,""high"",date(2021, 12, 1),date(2021, 12, 31),1)"),"Date")</f>
        <v>Date</v>
      </c>
      <c r="P6" s="3" t="str">
        <f>IFERROR(__xludf.DUMMYFUNCTION("""COMPUTED_VALUE"""),"High")</f>
        <v>High</v>
      </c>
      <c r="Q6" s="10" t="str">
        <f>IFERROR(__xludf.DUMMYFUNCTION("GoogleFinance(J1,""high"",date(2022, 12, 1),date(2022, 12, 31),1)"),"Date")</f>
        <v>Date</v>
      </c>
      <c r="R6" s="3" t="str">
        <f>IFERROR(__xludf.DUMMYFUNCTION("""COMPUTED_VALUE"""),"High")</f>
        <v>High</v>
      </c>
      <c r="S6" s="10" t="str">
        <f>IFERROR(__xludf.DUMMYFUNCTION("GoogleFinance(J1,""high"",date(2023, 12, 1),date(2023, 12, 31),1)"),"Date")</f>
        <v>Date</v>
      </c>
      <c r="T6" s="3" t="str">
        <f>IFERROR(__xludf.DUMMYFUNCTION("""COMPUTED_VALUE"""),"High")</f>
        <v>High</v>
      </c>
      <c r="U6" s="10" t="str">
        <f>IFERROR(__xludf.DUMMYFUNCTION("GoogleFinance(J1,""high"",date(2024, 12, 1),date(2024, 12, 31),1)"),"Date")</f>
        <v>Date</v>
      </c>
      <c r="V6" s="3" t="str">
        <f>IFERROR(__xludf.DUMMYFUNCTION("""COMPUTED_VALUE"""),"High")</f>
        <v>High</v>
      </c>
      <c r="W6" s="3"/>
      <c r="X6" s="3"/>
      <c r="Y6" s="3"/>
      <c r="Z6" s="3"/>
      <c r="AA6" s="3"/>
      <c r="AB6" s="3"/>
      <c r="AC6" s="3"/>
      <c r="AD6" s="3"/>
    </row>
    <row r="7">
      <c r="A7" s="11">
        <f>IFERROR(__xludf.DUMMYFUNCTION("""COMPUTED_VALUE"""),41974.66666666667)</f>
        <v>41974.66667</v>
      </c>
      <c r="B7" s="3">
        <f>IFERROR(__xludf.DUMMYFUNCTION("""COMPUTED_VALUE"""),17.19)</f>
        <v>17.19</v>
      </c>
      <c r="C7" s="11">
        <f>IFERROR(__xludf.DUMMYFUNCTION("""COMPUTED_VALUE"""),42339.66666666667)</f>
        <v>42339.66667</v>
      </c>
      <c r="D7" s="3">
        <f>IFERROR(__xludf.DUMMYFUNCTION("""COMPUTED_VALUE"""),29.77)</f>
        <v>29.77</v>
      </c>
      <c r="E7" s="11">
        <f>IFERROR(__xludf.DUMMYFUNCTION("""COMPUTED_VALUE"""),42705.66666666667)</f>
        <v>42705.66667</v>
      </c>
      <c r="F7" s="3">
        <f>IFERROR(__xludf.DUMMYFUNCTION("""COMPUTED_VALUE"""),34.15)</f>
        <v>34.15</v>
      </c>
      <c r="G7" s="11">
        <f>IFERROR(__xludf.DUMMYFUNCTION("""COMPUTED_VALUE"""),43070.66666666667)</f>
        <v>43070.66667</v>
      </c>
      <c r="H7" s="3">
        <f>IFERROR(__xludf.DUMMYFUNCTION("""COMPUTED_VALUE"""),50.0)</f>
        <v>50</v>
      </c>
      <c r="I7" s="11">
        <f>IFERROR(__xludf.DUMMYFUNCTION("""COMPUTED_VALUE"""),43437.66666666667)</f>
        <v>43437.66667</v>
      </c>
      <c r="J7" s="3">
        <f>IFERROR(__xludf.DUMMYFUNCTION("""COMPUTED_VALUE"""),64.12)</f>
        <v>64.12</v>
      </c>
      <c r="K7" s="11">
        <f>IFERROR(__xludf.DUMMYFUNCTION("""COMPUTED_VALUE"""),43801.66666666667)</f>
        <v>43801.66667</v>
      </c>
      <c r="L7" s="3">
        <f>IFERROR(__xludf.DUMMYFUNCTION("""COMPUTED_VALUE"""),60.03)</f>
        <v>60.03</v>
      </c>
      <c r="M7" s="11">
        <f>IFERROR(__xludf.DUMMYFUNCTION("""COMPUTED_VALUE"""),44166.66666666667)</f>
        <v>44166.66667</v>
      </c>
      <c r="N7" s="3">
        <f>IFERROR(__xludf.DUMMYFUNCTION("""COMPUTED_VALUE"""),66.31)</f>
        <v>66.31</v>
      </c>
      <c r="O7" s="11">
        <f>IFERROR(__xludf.DUMMYFUNCTION("""COMPUTED_VALUE"""),44531.66666666667)</f>
        <v>44531.66667</v>
      </c>
      <c r="P7" s="3">
        <f>IFERROR(__xludf.DUMMYFUNCTION("""COMPUTED_VALUE"""),116.68)</f>
        <v>116.68</v>
      </c>
      <c r="Q7" s="12">
        <f>IFERROR(__xludf.DUMMYFUNCTION("""COMPUTED_VALUE"""),44896.66666666667)</f>
        <v>44896.66667</v>
      </c>
      <c r="R7" s="3">
        <f>IFERROR(__xludf.DUMMYFUNCTION("""COMPUTED_VALUE"""),124.41)</f>
        <v>124.41</v>
      </c>
      <c r="S7" s="12">
        <f>IFERROR(__xludf.DUMMYFUNCTION("""COMPUTED_VALUE"""),45261.66666666667)</f>
        <v>45261.66667</v>
      </c>
      <c r="T7" s="3">
        <f>IFERROR(__xludf.DUMMYFUNCTION("""COMPUTED_VALUE"""),69.88)</f>
        <v>69.88</v>
      </c>
      <c r="U7" s="12">
        <f>IFERROR(__xludf.DUMMYFUNCTION("""COMPUTED_VALUE"""),45628.66666666667)</f>
        <v>45628.66667</v>
      </c>
      <c r="V7" s="3">
        <f>IFERROR(__xludf.DUMMYFUNCTION("""COMPUTED_VALUE"""),27.67)</f>
        <v>27.67</v>
      </c>
      <c r="W7" s="3"/>
      <c r="X7" s="3"/>
      <c r="Y7" s="3"/>
      <c r="Z7" s="3"/>
      <c r="AA7" s="3"/>
      <c r="AB7" s="3"/>
      <c r="AC7" s="3"/>
      <c r="AD7" s="3"/>
    </row>
    <row r="8">
      <c r="A8" s="11">
        <f>IFERROR(__xludf.DUMMYFUNCTION("""COMPUTED_VALUE"""),41975.66666666667)</f>
        <v>41975.66667</v>
      </c>
      <c r="B8" s="3">
        <f>IFERROR(__xludf.DUMMYFUNCTION("""COMPUTED_VALUE"""),17.1)</f>
        <v>17.1</v>
      </c>
      <c r="C8" s="11">
        <f>IFERROR(__xludf.DUMMYFUNCTION("""COMPUTED_VALUE"""),42340.66666666667)</f>
        <v>42340.66667</v>
      </c>
      <c r="D8" s="3">
        <f>IFERROR(__xludf.DUMMYFUNCTION("""COMPUTED_VALUE"""),30.74)</f>
        <v>30.74</v>
      </c>
      <c r="E8" s="11">
        <f>IFERROR(__xludf.DUMMYFUNCTION("""COMPUTED_VALUE"""),42706.66666666667)</f>
        <v>42706.66667</v>
      </c>
      <c r="F8" s="3">
        <f>IFERROR(__xludf.DUMMYFUNCTION("""COMPUTED_VALUE"""),33.8)</f>
        <v>33.8</v>
      </c>
      <c r="G8" s="11">
        <f>IFERROR(__xludf.DUMMYFUNCTION("""COMPUTED_VALUE"""),43073.66666666667)</f>
        <v>43073.66667</v>
      </c>
      <c r="H8" s="3">
        <f>IFERROR(__xludf.DUMMYFUNCTION("""COMPUTED_VALUE"""),51.05)</f>
        <v>51.05</v>
      </c>
      <c r="I8" s="11">
        <f>IFERROR(__xludf.DUMMYFUNCTION("""COMPUTED_VALUE"""),43438.66666666667)</f>
        <v>43438.66667</v>
      </c>
      <c r="J8" s="3">
        <f>IFERROR(__xludf.DUMMYFUNCTION("""COMPUTED_VALUE"""),63.99)</f>
        <v>63.99</v>
      </c>
      <c r="K8" s="11">
        <f>IFERROR(__xludf.DUMMYFUNCTION("""COMPUTED_VALUE"""),43802.66666666667)</f>
        <v>43802.66667</v>
      </c>
      <c r="L8" s="3">
        <f>IFERROR(__xludf.DUMMYFUNCTION("""COMPUTED_VALUE"""),59.95)</f>
        <v>59.95</v>
      </c>
      <c r="M8" s="11">
        <f>IFERROR(__xludf.DUMMYFUNCTION("""COMPUTED_VALUE"""),44167.66666666667)</f>
        <v>44167.66667</v>
      </c>
      <c r="N8" s="3">
        <f>IFERROR(__xludf.DUMMYFUNCTION("""COMPUTED_VALUE"""),66.06)</f>
        <v>66.06</v>
      </c>
      <c r="O8" s="11">
        <f>IFERROR(__xludf.DUMMYFUNCTION("""COMPUTED_VALUE"""),44532.66666666667)</f>
        <v>44532.66667</v>
      </c>
      <c r="P8" s="3">
        <f>IFERROR(__xludf.DUMMYFUNCTION("""COMPUTED_VALUE"""),114.5)</f>
        <v>114.5</v>
      </c>
      <c r="Q8" s="12">
        <f>IFERROR(__xludf.DUMMYFUNCTION("""COMPUTED_VALUE"""),44897.66666666667)</f>
        <v>44897.66667</v>
      </c>
      <c r="R8" s="3">
        <f>IFERROR(__xludf.DUMMYFUNCTION("""COMPUTED_VALUE"""),124.86)</f>
        <v>124.86</v>
      </c>
      <c r="S8" s="12">
        <f>IFERROR(__xludf.DUMMYFUNCTION("""COMPUTED_VALUE"""),45264.66666666667)</f>
        <v>45264.66667</v>
      </c>
      <c r="T8" s="3">
        <f>IFERROR(__xludf.DUMMYFUNCTION("""COMPUTED_VALUE"""),72.98)</f>
        <v>72.98</v>
      </c>
      <c r="U8" s="12">
        <f>IFERROR(__xludf.DUMMYFUNCTION("""COMPUTED_VALUE"""),45629.66666666667)</f>
        <v>45629.66667</v>
      </c>
      <c r="V8" s="3">
        <f>IFERROR(__xludf.DUMMYFUNCTION("""COMPUTED_VALUE"""),27.73)</f>
        <v>27.73</v>
      </c>
      <c r="W8" s="3"/>
      <c r="X8" s="3"/>
      <c r="Y8" s="3"/>
      <c r="Z8" s="3"/>
      <c r="AA8" s="3"/>
      <c r="AB8" s="3"/>
      <c r="AC8" s="3"/>
      <c r="AD8" s="3"/>
    </row>
    <row r="9">
      <c r="A9" s="11">
        <f>IFERROR(__xludf.DUMMYFUNCTION("""COMPUTED_VALUE"""),41976.66666666667)</f>
        <v>41976.66667</v>
      </c>
      <c r="B9" s="3">
        <f>IFERROR(__xludf.DUMMYFUNCTION("""COMPUTED_VALUE"""),17.36)</f>
        <v>17.36</v>
      </c>
      <c r="C9" s="11">
        <f>IFERROR(__xludf.DUMMYFUNCTION("""COMPUTED_VALUE"""),42341.66666666667)</f>
        <v>42341.66667</v>
      </c>
      <c r="D9" s="3">
        <f>IFERROR(__xludf.DUMMYFUNCTION("""COMPUTED_VALUE"""),30.65)</f>
        <v>30.65</v>
      </c>
      <c r="E9" s="11">
        <f>IFERROR(__xludf.DUMMYFUNCTION("""COMPUTED_VALUE"""),42709.66666666667)</f>
        <v>42709.66667</v>
      </c>
      <c r="F9" s="3">
        <f>IFERROR(__xludf.DUMMYFUNCTION("""COMPUTED_VALUE"""),34.05)</f>
        <v>34.05</v>
      </c>
      <c r="G9" s="11">
        <f>IFERROR(__xludf.DUMMYFUNCTION("""COMPUTED_VALUE"""),43074.66666666667)</f>
        <v>43074.66667</v>
      </c>
      <c r="H9" s="3">
        <f>IFERROR(__xludf.DUMMYFUNCTION("""COMPUTED_VALUE"""),50.85)</f>
        <v>50.85</v>
      </c>
      <c r="I9" s="11">
        <f>IFERROR(__xludf.DUMMYFUNCTION("""COMPUTED_VALUE"""),43440.66666666667)</f>
        <v>43440.66667</v>
      </c>
      <c r="J9" s="3">
        <f>IFERROR(__xludf.DUMMYFUNCTION("""COMPUTED_VALUE"""),60.68)</f>
        <v>60.68</v>
      </c>
      <c r="K9" s="11">
        <f>IFERROR(__xludf.DUMMYFUNCTION("""COMPUTED_VALUE"""),43803.66666666667)</f>
        <v>43803.66667</v>
      </c>
      <c r="L9" s="3">
        <f>IFERROR(__xludf.DUMMYFUNCTION("""COMPUTED_VALUE"""),60.94)</f>
        <v>60.94</v>
      </c>
      <c r="M9" s="11">
        <f>IFERROR(__xludf.DUMMYFUNCTION("""COMPUTED_VALUE"""),44168.66666666667)</f>
        <v>44168.66667</v>
      </c>
      <c r="N9" s="3">
        <f>IFERROR(__xludf.DUMMYFUNCTION("""COMPUTED_VALUE"""),66.85)</f>
        <v>66.85</v>
      </c>
      <c r="O9" s="11">
        <f>IFERROR(__xludf.DUMMYFUNCTION("""COMPUTED_VALUE"""),44533.66666666667)</f>
        <v>44533.66667</v>
      </c>
      <c r="P9" s="3">
        <f>IFERROR(__xludf.DUMMYFUNCTION("""COMPUTED_VALUE"""),113.57)</f>
        <v>113.57</v>
      </c>
      <c r="Q9" s="12">
        <f>IFERROR(__xludf.DUMMYFUNCTION("""COMPUTED_VALUE"""),44900.66666666667)</f>
        <v>44900.66667</v>
      </c>
      <c r="R9" s="3">
        <f>IFERROR(__xludf.DUMMYFUNCTION("""COMPUTED_VALUE"""),122.98)</f>
        <v>122.98</v>
      </c>
      <c r="S9" s="12">
        <f>IFERROR(__xludf.DUMMYFUNCTION("""COMPUTED_VALUE"""),45265.66666666667)</f>
        <v>45265.66667</v>
      </c>
      <c r="T9" s="3">
        <f>IFERROR(__xludf.DUMMYFUNCTION("""COMPUTED_VALUE"""),72.79)</f>
        <v>72.79</v>
      </c>
      <c r="U9" s="12">
        <f>IFERROR(__xludf.DUMMYFUNCTION("""COMPUTED_VALUE"""),45630.66666666667)</f>
        <v>45630.66667</v>
      </c>
      <c r="V9" s="3">
        <f>IFERROR(__xludf.DUMMYFUNCTION("""COMPUTED_VALUE"""),30.15)</f>
        <v>30.15</v>
      </c>
      <c r="W9" s="3"/>
      <c r="X9" s="3"/>
      <c r="Y9" s="3"/>
      <c r="Z9" s="3"/>
      <c r="AA9" s="3"/>
      <c r="AB9" s="3"/>
      <c r="AC9" s="3"/>
      <c r="AD9" s="3"/>
    </row>
    <row r="10">
      <c r="A10" s="11">
        <f>IFERROR(__xludf.DUMMYFUNCTION("""COMPUTED_VALUE"""),41977.66666666667)</f>
        <v>41977.66667</v>
      </c>
      <c r="B10" s="3">
        <f>IFERROR(__xludf.DUMMYFUNCTION("""COMPUTED_VALUE"""),17.6)</f>
        <v>17.6</v>
      </c>
      <c r="C10" s="11">
        <f>IFERROR(__xludf.DUMMYFUNCTION("""COMPUTED_VALUE"""),42342.66666666667)</f>
        <v>42342.66667</v>
      </c>
      <c r="D10" s="3">
        <f>IFERROR(__xludf.DUMMYFUNCTION("""COMPUTED_VALUE"""),30.85)</f>
        <v>30.85</v>
      </c>
      <c r="E10" s="11">
        <f>IFERROR(__xludf.DUMMYFUNCTION("""COMPUTED_VALUE"""),42710.66666666667)</f>
        <v>42710.66667</v>
      </c>
      <c r="F10" s="3">
        <f>IFERROR(__xludf.DUMMYFUNCTION("""COMPUTED_VALUE"""),35.4)</f>
        <v>35.4</v>
      </c>
      <c r="G10" s="11">
        <f>IFERROR(__xludf.DUMMYFUNCTION("""COMPUTED_VALUE"""),43075.66666666667)</f>
        <v>43075.66667</v>
      </c>
      <c r="H10" s="3">
        <f>IFERROR(__xludf.DUMMYFUNCTION("""COMPUTED_VALUE"""),49.85)</f>
        <v>49.85</v>
      </c>
      <c r="I10" s="11">
        <f>IFERROR(__xludf.DUMMYFUNCTION("""COMPUTED_VALUE"""),43441.66666666667)</f>
        <v>43441.66667</v>
      </c>
      <c r="J10" s="3">
        <f>IFERROR(__xludf.DUMMYFUNCTION("""COMPUTED_VALUE"""),60.76)</f>
        <v>60.76</v>
      </c>
      <c r="K10" s="11">
        <f>IFERROR(__xludf.DUMMYFUNCTION("""COMPUTED_VALUE"""),43804.66666666667)</f>
        <v>43804.66667</v>
      </c>
      <c r="L10" s="3">
        <f>IFERROR(__xludf.DUMMYFUNCTION("""COMPUTED_VALUE"""),60.71)</f>
        <v>60.71</v>
      </c>
      <c r="M10" s="11">
        <f>IFERROR(__xludf.DUMMYFUNCTION("""COMPUTED_VALUE"""),44169.66666666667)</f>
        <v>44169.66667</v>
      </c>
      <c r="N10" s="3">
        <f>IFERROR(__xludf.DUMMYFUNCTION("""COMPUTED_VALUE"""),66.97)</f>
        <v>66.97</v>
      </c>
      <c r="O10" s="11">
        <f>IFERROR(__xludf.DUMMYFUNCTION("""COMPUTED_VALUE"""),44536.66666666667)</f>
        <v>44536.66667</v>
      </c>
      <c r="P10" s="3">
        <f>IFERROR(__xludf.DUMMYFUNCTION("""COMPUTED_VALUE"""),112.35)</f>
        <v>112.35</v>
      </c>
      <c r="Q10" s="12">
        <f>IFERROR(__xludf.DUMMYFUNCTION("""COMPUTED_VALUE"""),44901.66666666667)</f>
        <v>44901.66667</v>
      </c>
      <c r="R10" s="3">
        <f>IFERROR(__xludf.DUMMYFUNCTION("""COMPUTED_VALUE"""),121.92)</f>
        <v>121.92</v>
      </c>
      <c r="S10" s="12">
        <f>IFERROR(__xludf.DUMMYFUNCTION("""COMPUTED_VALUE"""),45266.66666666667)</f>
        <v>45266.66667</v>
      </c>
      <c r="T10" s="3">
        <f>IFERROR(__xludf.DUMMYFUNCTION("""COMPUTED_VALUE"""),72.52)</f>
        <v>72.52</v>
      </c>
      <c r="U10" s="12">
        <f>IFERROR(__xludf.DUMMYFUNCTION("""COMPUTED_VALUE"""),45631.66666666667)</f>
        <v>45631.66667</v>
      </c>
      <c r="V10" s="3">
        <f>IFERROR(__xludf.DUMMYFUNCTION("""COMPUTED_VALUE"""),28.12)</f>
        <v>28.12</v>
      </c>
      <c r="W10" s="3"/>
      <c r="X10" s="3"/>
      <c r="Y10" s="3"/>
      <c r="Z10" s="3"/>
      <c r="AA10" s="3"/>
      <c r="AB10" s="3"/>
      <c r="AC10" s="3"/>
      <c r="AD10" s="3"/>
    </row>
    <row r="11">
      <c r="A11" s="11">
        <f>IFERROR(__xludf.DUMMYFUNCTION("""COMPUTED_VALUE"""),41978.66666666667)</f>
        <v>41978.66667</v>
      </c>
      <c r="B11" s="3">
        <f>IFERROR(__xludf.DUMMYFUNCTION("""COMPUTED_VALUE"""),17.97)</f>
        <v>17.97</v>
      </c>
      <c r="C11" s="11">
        <f>IFERROR(__xludf.DUMMYFUNCTION("""COMPUTED_VALUE"""),42345.66666666667)</f>
        <v>42345.66667</v>
      </c>
      <c r="D11" s="3">
        <f>IFERROR(__xludf.DUMMYFUNCTION("""COMPUTED_VALUE"""),30.37)</f>
        <v>30.37</v>
      </c>
      <c r="E11" s="11">
        <f>IFERROR(__xludf.DUMMYFUNCTION("""COMPUTED_VALUE"""),42711.66666666667)</f>
        <v>42711.66667</v>
      </c>
      <c r="F11" s="3">
        <f>IFERROR(__xludf.DUMMYFUNCTION("""COMPUTED_VALUE"""),36.0)</f>
        <v>36</v>
      </c>
      <c r="G11" s="11">
        <f>IFERROR(__xludf.DUMMYFUNCTION("""COMPUTED_VALUE"""),43076.66666666667)</f>
        <v>43076.66667</v>
      </c>
      <c r="H11" s="3">
        <f>IFERROR(__xludf.DUMMYFUNCTION("""COMPUTED_VALUE"""),49.45)</f>
        <v>49.45</v>
      </c>
      <c r="I11" s="11">
        <f>IFERROR(__xludf.DUMMYFUNCTION("""COMPUTED_VALUE"""),43444.66666666667)</f>
        <v>43444.66667</v>
      </c>
      <c r="J11" s="3">
        <f>IFERROR(__xludf.DUMMYFUNCTION("""COMPUTED_VALUE"""),60.58)</f>
        <v>60.58</v>
      </c>
      <c r="K11" s="11">
        <f>IFERROR(__xludf.DUMMYFUNCTION("""COMPUTED_VALUE"""),43805.66666666667)</f>
        <v>43805.66667</v>
      </c>
      <c r="L11" s="3">
        <f>IFERROR(__xludf.DUMMYFUNCTION("""COMPUTED_VALUE"""),61.84)</f>
        <v>61.84</v>
      </c>
      <c r="M11" s="11">
        <f>IFERROR(__xludf.DUMMYFUNCTION("""COMPUTED_VALUE"""),44172.66666666667)</f>
        <v>44172.66667</v>
      </c>
      <c r="N11" s="3">
        <f>IFERROR(__xludf.DUMMYFUNCTION("""COMPUTED_VALUE"""),65.77)</f>
        <v>65.77</v>
      </c>
      <c r="O11" s="11">
        <f>IFERROR(__xludf.DUMMYFUNCTION("""COMPUTED_VALUE"""),44537.66666666667)</f>
        <v>44537.66667</v>
      </c>
      <c r="P11" s="3">
        <f>IFERROR(__xludf.DUMMYFUNCTION("""COMPUTED_VALUE"""),113.74)</f>
        <v>113.74</v>
      </c>
      <c r="Q11" s="12">
        <f>IFERROR(__xludf.DUMMYFUNCTION("""COMPUTED_VALUE"""),44902.66666666667)</f>
        <v>44902.66667</v>
      </c>
      <c r="R11" s="3">
        <f>IFERROR(__xludf.DUMMYFUNCTION("""COMPUTED_VALUE"""),119.46)</f>
        <v>119.46</v>
      </c>
      <c r="S11" s="12">
        <f>IFERROR(__xludf.DUMMYFUNCTION("""COMPUTED_VALUE"""),45267.66666666667)</f>
        <v>45267.66667</v>
      </c>
      <c r="T11" s="3">
        <f>IFERROR(__xludf.DUMMYFUNCTION("""COMPUTED_VALUE"""),69.33)</f>
        <v>69.33</v>
      </c>
      <c r="U11" s="12">
        <f>IFERROR(__xludf.DUMMYFUNCTION("""COMPUTED_VALUE"""),45632.66666666667)</f>
        <v>45632.66667</v>
      </c>
      <c r="V11" s="3">
        <f>IFERROR(__xludf.DUMMYFUNCTION("""COMPUTED_VALUE"""),27.33)</f>
        <v>27.33</v>
      </c>
      <c r="W11" s="3"/>
      <c r="X11" s="3"/>
      <c r="Y11" s="3"/>
      <c r="Z11" s="3"/>
      <c r="AA11" s="3"/>
      <c r="AB11" s="3"/>
      <c r="AC11" s="3"/>
      <c r="AD11" s="3"/>
    </row>
    <row r="12">
      <c r="A12" s="11">
        <f>IFERROR(__xludf.DUMMYFUNCTION("""COMPUTED_VALUE"""),41981.66666666667)</f>
        <v>41981.66667</v>
      </c>
      <c r="B12" s="3">
        <f>IFERROR(__xludf.DUMMYFUNCTION("""COMPUTED_VALUE"""),18.36)</f>
        <v>18.36</v>
      </c>
      <c r="C12" s="11">
        <f>IFERROR(__xludf.DUMMYFUNCTION("""COMPUTED_VALUE"""),42346.66666666667)</f>
        <v>42346.66667</v>
      </c>
      <c r="D12" s="3">
        <f>IFERROR(__xludf.DUMMYFUNCTION("""COMPUTED_VALUE"""),30.73)</f>
        <v>30.73</v>
      </c>
      <c r="E12" s="11">
        <f>IFERROR(__xludf.DUMMYFUNCTION("""COMPUTED_VALUE"""),42712.66666666667)</f>
        <v>42712.66667</v>
      </c>
      <c r="F12" s="3">
        <f>IFERROR(__xludf.DUMMYFUNCTION("""COMPUTED_VALUE"""),36.85)</f>
        <v>36.85</v>
      </c>
      <c r="G12" s="11">
        <f>IFERROR(__xludf.DUMMYFUNCTION("""COMPUTED_VALUE"""),43077.66666666667)</f>
        <v>43077.66667</v>
      </c>
      <c r="H12" s="3">
        <f>IFERROR(__xludf.DUMMYFUNCTION("""COMPUTED_VALUE"""),50.25)</f>
        <v>50.25</v>
      </c>
      <c r="I12" s="11">
        <f>IFERROR(__xludf.DUMMYFUNCTION("""COMPUTED_VALUE"""),43445.66666666667)</f>
        <v>43445.66667</v>
      </c>
      <c r="J12" s="3">
        <f>IFERROR(__xludf.DUMMYFUNCTION("""COMPUTED_VALUE"""),60.72)</f>
        <v>60.72</v>
      </c>
      <c r="K12" s="11">
        <f>IFERROR(__xludf.DUMMYFUNCTION("""COMPUTED_VALUE"""),43808.66666666667)</f>
        <v>43808.66667</v>
      </c>
      <c r="L12" s="3">
        <f>IFERROR(__xludf.DUMMYFUNCTION("""COMPUTED_VALUE"""),60.9)</f>
        <v>60.9</v>
      </c>
      <c r="M12" s="11">
        <f>IFERROR(__xludf.DUMMYFUNCTION("""COMPUTED_VALUE"""),44173.66666666667)</f>
        <v>44173.66667</v>
      </c>
      <c r="N12" s="3">
        <f>IFERROR(__xludf.DUMMYFUNCTION("""COMPUTED_VALUE"""),68.67)</f>
        <v>68.67</v>
      </c>
      <c r="O12" s="11">
        <f>IFERROR(__xludf.DUMMYFUNCTION("""COMPUTED_VALUE"""),44538.66666666667)</f>
        <v>44538.66667</v>
      </c>
      <c r="P12" s="3">
        <f>IFERROR(__xludf.DUMMYFUNCTION("""COMPUTED_VALUE"""),114.08)</f>
        <v>114.08</v>
      </c>
      <c r="Q12" s="12">
        <f>IFERROR(__xludf.DUMMYFUNCTION("""COMPUTED_VALUE"""),44903.66666666667)</f>
        <v>44903.66667</v>
      </c>
      <c r="R12" s="3">
        <f>IFERROR(__xludf.DUMMYFUNCTION("""COMPUTED_VALUE"""),120.69)</f>
        <v>120.69</v>
      </c>
      <c r="S12" s="12">
        <f>IFERROR(__xludf.DUMMYFUNCTION("""COMPUTED_VALUE"""),45268.66666666667)</f>
        <v>45268.66667</v>
      </c>
      <c r="T12" s="3">
        <f>IFERROR(__xludf.DUMMYFUNCTION("""COMPUTED_VALUE"""),69.13)</f>
        <v>69.13</v>
      </c>
      <c r="U12" s="12">
        <f>IFERROR(__xludf.DUMMYFUNCTION("""COMPUTED_VALUE"""),45635.66666666667)</f>
        <v>45635.66667</v>
      </c>
      <c r="V12" s="3">
        <f>IFERROR(__xludf.DUMMYFUNCTION("""COMPUTED_VALUE"""),28.76)</f>
        <v>28.76</v>
      </c>
      <c r="W12" s="3"/>
      <c r="X12" s="3"/>
      <c r="Y12" s="3"/>
      <c r="Z12" s="3"/>
      <c r="AA12" s="3"/>
      <c r="AB12" s="3"/>
      <c r="AC12" s="3"/>
      <c r="AD12" s="3"/>
    </row>
    <row r="13">
      <c r="A13" s="11">
        <f>IFERROR(__xludf.DUMMYFUNCTION("""COMPUTED_VALUE"""),41982.66666666667)</f>
        <v>41982.66667</v>
      </c>
      <c r="B13" s="3">
        <f>IFERROR(__xludf.DUMMYFUNCTION("""COMPUTED_VALUE"""),18.72)</f>
        <v>18.72</v>
      </c>
      <c r="C13" s="11">
        <f>IFERROR(__xludf.DUMMYFUNCTION("""COMPUTED_VALUE"""),42347.66666666667)</f>
        <v>42347.66667</v>
      </c>
      <c r="D13" s="3">
        <f>IFERROR(__xludf.DUMMYFUNCTION("""COMPUTED_VALUE"""),31.47)</f>
        <v>31.47</v>
      </c>
      <c r="E13" s="11">
        <f>IFERROR(__xludf.DUMMYFUNCTION("""COMPUTED_VALUE"""),42713.66666666667)</f>
        <v>42713.66667</v>
      </c>
      <c r="F13" s="3">
        <f>IFERROR(__xludf.DUMMYFUNCTION("""COMPUTED_VALUE"""),38.15)</f>
        <v>38.15</v>
      </c>
      <c r="G13" s="11">
        <f>IFERROR(__xludf.DUMMYFUNCTION("""COMPUTED_VALUE"""),43080.66666666667)</f>
        <v>43080.66667</v>
      </c>
      <c r="H13" s="3">
        <f>IFERROR(__xludf.DUMMYFUNCTION("""COMPUTED_VALUE"""),50.4)</f>
        <v>50.4</v>
      </c>
      <c r="I13" s="11">
        <f>IFERROR(__xludf.DUMMYFUNCTION("""COMPUTED_VALUE"""),43446.66666666667)</f>
        <v>43446.66667</v>
      </c>
      <c r="J13" s="3">
        <f>IFERROR(__xludf.DUMMYFUNCTION("""COMPUTED_VALUE"""),60.56)</f>
        <v>60.56</v>
      </c>
      <c r="K13" s="11">
        <f>IFERROR(__xludf.DUMMYFUNCTION("""COMPUTED_VALUE"""),43809.66666666667)</f>
        <v>43809.66667</v>
      </c>
      <c r="L13" s="3">
        <f>IFERROR(__xludf.DUMMYFUNCTION("""COMPUTED_VALUE"""),61.04)</f>
        <v>61.04</v>
      </c>
      <c r="M13" s="11">
        <f>IFERROR(__xludf.DUMMYFUNCTION("""COMPUTED_VALUE"""),44174.66666666667)</f>
        <v>44174.66667</v>
      </c>
      <c r="N13" s="3">
        <f>IFERROR(__xludf.DUMMYFUNCTION("""COMPUTED_VALUE"""),69.29)</f>
        <v>69.29</v>
      </c>
      <c r="O13" s="11">
        <f>IFERROR(__xludf.DUMMYFUNCTION("""COMPUTED_VALUE"""),44539.66666666667)</f>
        <v>44539.66667</v>
      </c>
      <c r="P13" s="3">
        <f>IFERROR(__xludf.DUMMYFUNCTION("""COMPUTED_VALUE"""),113.7)</f>
        <v>113.7</v>
      </c>
      <c r="Q13" s="12">
        <f>IFERROR(__xludf.DUMMYFUNCTION("""COMPUTED_VALUE"""),44904.66666666667)</f>
        <v>44904.66667</v>
      </c>
      <c r="R13" s="3">
        <f>IFERROR(__xludf.DUMMYFUNCTION("""COMPUTED_VALUE"""),118.31)</f>
        <v>118.31</v>
      </c>
      <c r="S13" s="12">
        <f>IFERROR(__xludf.DUMMYFUNCTION("""COMPUTED_VALUE"""),45271.66666666667)</f>
        <v>45271.66667</v>
      </c>
      <c r="T13" s="3">
        <f>IFERROR(__xludf.DUMMYFUNCTION("""COMPUTED_VALUE"""),69.85)</f>
        <v>69.85</v>
      </c>
      <c r="U13" s="12">
        <f>IFERROR(__xludf.DUMMYFUNCTION("""COMPUTED_VALUE"""),45636.66666666667)</f>
        <v>45636.66667</v>
      </c>
      <c r="V13" s="3">
        <f>IFERROR(__xludf.DUMMYFUNCTION("""COMPUTED_VALUE"""),28.09)</f>
        <v>28.09</v>
      </c>
      <c r="W13" s="3"/>
      <c r="X13" s="3"/>
      <c r="Y13" s="3"/>
      <c r="Z13" s="3"/>
      <c r="AA13" s="3"/>
      <c r="AB13" s="3"/>
      <c r="AC13" s="3"/>
      <c r="AD13" s="3"/>
    </row>
    <row r="14">
      <c r="A14" s="11">
        <f>IFERROR(__xludf.DUMMYFUNCTION("""COMPUTED_VALUE"""),41983.66666666667)</f>
        <v>41983.66667</v>
      </c>
      <c r="B14" s="3">
        <f>IFERROR(__xludf.DUMMYFUNCTION("""COMPUTED_VALUE"""),18.52)</f>
        <v>18.52</v>
      </c>
      <c r="C14" s="11">
        <f>IFERROR(__xludf.DUMMYFUNCTION("""COMPUTED_VALUE"""),42348.66666666667)</f>
        <v>42348.66667</v>
      </c>
      <c r="D14" s="3">
        <f>IFERROR(__xludf.DUMMYFUNCTION("""COMPUTED_VALUE"""),30.49)</f>
        <v>30.49</v>
      </c>
      <c r="E14" s="11">
        <f>IFERROR(__xludf.DUMMYFUNCTION("""COMPUTED_VALUE"""),42716.66666666667)</f>
        <v>42716.66667</v>
      </c>
      <c r="F14" s="3">
        <f>IFERROR(__xludf.DUMMYFUNCTION("""COMPUTED_VALUE"""),39.35)</f>
        <v>39.35</v>
      </c>
      <c r="G14" s="11">
        <f>IFERROR(__xludf.DUMMYFUNCTION("""COMPUTED_VALUE"""),43081.66666666667)</f>
        <v>43081.66667</v>
      </c>
      <c r="H14" s="3">
        <f>IFERROR(__xludf.DUMMYFUNCTION("""COMPUTED_VALUE"""),49.7)</f>
        <v>49.7</v>
      </c>
      <c r="I14" s="11">
        <f>IFERROR(__xludf.DUMMYFUNCTION("""COMPUTED_VALUE"""),43447.66666666667)</f>
        <v>43447.66667</v>
      </c>
      <c r="J14" s="3">
        <f>IFERROR(__xludf.DUMMYFUNCTION("""COMPUTED_VALUE"""),60.02)</f>
        <v>60.02</v>
      </c>
      <c r="K14" s="11">
        <f>IFERROR(__xludf.DUMMYFUNCTION("""COMPUTED_VALUE"""),43810.66666666667)</f>
        <v>43810.66667</v>
      </c>
      <c r="L14" s="3">
        <f>IFERROR(__xludf.DUMMYFUNCTION("""COMPUTED_VALUE"""),60.72)</f>
        <v>60.72</v>
      </c>
      <c r="M14" s="11">
        <f>IFERROR(__xludf.DUMMYFUNCTION("""COMPUTED_VALUE"""),44175.66666666667)</f>
        <v>44175.66667</v>
      </c>
      <c r="N14" s="3">
        <f>IFERROR(__xludf.DUMMYFUNCTION("""COMPUTED_VALUE"""),70.07)</f>
        <v>70.07</v>
      </c>
      <c r="O14" s="11">
        <f>IFERROR(__xludf.DUMMYFUNCTION("""COMPUTED_VALUE"""),44540.66666666667)</f>
        <v>44540.66667</v>
      </c>
      <c r="P14" s="3">
        <f>IFERROR(__xludf.DUMMYFUNCTION("""COMPUTED_VALUE"""),112.12)</f>
        <v>112.12</v>
      </c>
      <c r="Q14" s="12">
        <f>IFERROR(__xludf.DUMMYFUNCTION("""COMPUTED_VALUE"""),44907.66666666667)</f>
        <v>44907.66667</v>
      </c>
      <c r="R14" s="3">
        <f>IFERROR(__xludf.DUMMYFUNCTION("""COMPUTED_VALUE"""),115.46)</f>
        <v>115.46</v>
      </c>
      <c r="S14" s="12">
        <f>IFERROR(__xludf.DUMMYFUNCTION("""COMPUTED_VALUE"""),45272.66666666667)</f>
        <v>45272.66667</v>
      </c>
      <c r="T14" s="3">
        <f>IFERROR(__xludf.DUMMYFUNCTION("""COMPUTED_VALUE"""),69.84)</f>
        <v>69.84</v>
      </c>
      <c r="U14" s="12">
        <f>IFERROR(__xludf.DUMMYFUNCTION("""COMPUTED_VALUE"""),45637.66666666667)</f>
        <v>45637.66667</v>
      </c>
      <c r="V14" s="3">
        <f>IFERROR(__xludf.DUMMYFUNCTION("""COMPUTED_VALUE"""),27.29)</f>
        <v>27.29</v>
      </c>
      <c r="W14" s="3"/>
      <c r="X14" s="3"/>
      <c r="Y14" s="3"/>
      <c r="Z14" s="3"/>
      <c r="AA14" s="3"/>
      <c r="AB14" s="3"/>
      <c r="AC14" s="3"/>
      <c r="AD14" s="3"/>
    </row>
    <row r="15">
      <c r="A15" s="11">
        <f>IFERROR(__xludf.DUMMYFUNCTION("""COMPUTED_VALUE"""),41984.66666666667)</f>
        <v>41984.66667</v>
      </c>
      <c r="B15" s="3">
        <f>IFERROR(__xludf.DUMMYFUNCTION("""COMPUTED_VALUE"""),18.46)</f>
        <v>18.46</v>
      </c>
      <c r="C15" s="11">
        <f>IFERROR(__xludf.DUMMYFUNCTION("""COMPUTED_VALUE"""),42349.66666666667)</f>
        <v>42349.66667</v>
      </c>
      <c r="D15" s="3">
        <f>IFERROR(__xludf.DUMMYFUNCTION("""COMPUTED_VALUE"""),30.15)</f>
        <v>30.15</v>
      </c>
      <c r="E15" s="11">
        <f>IFERROR(__xludf.DUMMYFUNCTION("""COMPUTED_VALUE"""),42717.66666666667)</f>
        <v>42717.66667</v>
      </c>
      <c r="F15" s="3">
        <f>IFERROR(__xludf.DUMMYFUNCTION("""COMPUTED_VALUE"""),39.8)</f>
        <v>39.8</v>
      </c>
      <c r="G15" s="11">
        <f>IFERROR(__xludf.DUMMYFUNCTION("""COMPUTED_VALUE"""),43082.66666666667)</f>
        <v>43082.66667</v>
      </c>
      <c r="H15" s="3">
        <f>IFERROR(__xludf.DUMMYFUNCTION("""COMPUTED_VALUE"""),48.58)</f>
        <v>48.58</v>
      </c>
      <c r="I15" s="11">
        <f>IFERROR(__xludf.DUMMYFUNCTION("""COMPUTED_VALUE"""),43448.66666666667)</f>
        <v>43448.66667</v>
      </c>
      <c r="J15" s="3">
        <f>IFERROR(__xludf.DUMMYFUNCTION("""COMPUTED_VALUE"""),59.39)</f>
        <v>59.39</v>
      </c>
      <c r="K15" s="11">
        <f>IFERROR(__xludf.DUMMYFUNCTION("""COMPUTED_VALUE"""),43811.66666666667)</f>
        <v>43811.66667</v>
      </c>
      <c r="L15" s="3">
        <f>IFERROR(__xludf.DUMMYFUNCTION("""COMPUTED_VALUE"""),61.16)</f>
        <v>61.16</v>
      </c>
      <c r="M15" s="11">
        <f>IFERROR(__xludf.DUMMYFUNCTION("""COMPUTED_VALUE"""),44176.66666666667)</f>
        <v>44176.66667</v>
      </c>
      <c r="N15" s="3">
        <f>IFERROR(__xludf.DUMMYFUNCTION("""COMPUTED_VALUE"""),69.99)</f>
        <v>69.99</v>
      </c>
      <c r="O15" s="11">
        <f>IFERROR(__xludf.DUMMYFUNCTION("""COMPUTED_VALUE"""),44543.66666666667)</f>
        <v>44543.66667</v>
      </c>
      <c r="P15" s="3">
        <f>IFERROR(__xludf.DUMMYFUNCTION("""COMPUTED_VALUE"""),111.94)</f>
        <v>111.94</v>
      </c>
      <c r="Q15" s="11">
        <f>IFERROR(__xludf.DUMMYFUNCTION("""COMPUTED_VALUE"""),44908.66666666667)</f>
        <v>44908.66667</v>
      </c>
      <c r="R15" s="3">
        <f>IFERROR(__xludf.DUMMYFUNCTION("""COMPUTED_VALUE"""),115.26)</f>
        <v>115.26</v>
      </c>
      <c r="S15" s="12">
        <f>IFERROR(__xludf.DUMMYFUNCTION("""COMPUTED_VALUE"""),45273.66666666667)</f>
        <v>45273.66667</v>
      </c>
      <c r="T15" s="3">
        <f>IFERROR(__xludf.DUMMYFUNCTION("""COMPUTED_VALUE"""),69.7)</f>
        <v>69.7</v>
      </c>
      <c r="U15" s="12">
        <f>IFERROR(__xludf.DUMMYFUNCTION("""COMPUTED_VALUE"""),45638.66666666667)</f>
        <v>45638.66667</v>
      </c>
      <c r="V15" s="3">
        <f>IFERROR(__xludf.DUMMYFUNCTION("""COMPUTED_VALUE"""),27.23)</f>
        <v>27.23</v>
      </c>
      <c r="W15" s="3"/>
      <c r="X15" s="3"/>
      <c r="Y15" s="3"/>
      <c r="Z15" s="3"/>
      <c r="AA15" s="3"/>
      <c r="AB15" s="3"/>
      <c r="AC15" s="3"/>
      <c r="AD15" s="3"/>
    </row>
    <row r="16">
      <c r="A16" s="11">
        <f>IFERROR(__xludf.DUMMYFUNCTION("""COMPUTED_VALUE"""),41985.66666666667)</f>
        <v>41985.66667</v>
      </c>
      <c r="B16" s="3">
        <f>IFERROR(__xludf.DUMMYFUNCTION("""COMPUTED_VALUE"""),18.11)</f>
        <v>18.11</v>
      </c>
      <c r="C16" s="11">
        <f>IFERROR(__xludf.DUMMYFUNCTION("""COMPUTED_VALUE"""),42352.66666666667)</f>
        <v>42352.66667</v>
      </c>
      <c r="D16" s="3">
        <f>IFERROR(__xludf.DUMMYFUNCTION("""COMPUTED_VALUE"""),30.25)</f>
        <v>30.25</v>
      </c>
      <c r="E16" s="11">
        <f>IFERROR(__xludf.DUMMYFUNCTION("""COMPUTED_VALUE"""),42718.66666666667)</f>
        <v>42718.66667</v>
      </c>
      <c r="F16" s="3">
        <f>IFERROR(__xludf.DUMMYFUNCTION("""COMPUTED_VALUE"""),40.4)</f>
        <v>40.4</v>
      </c>
      <c r="G16" s="11">
        <f>IFERROR(__xludf.DUMMYFUNCTION("""COMPUTED_VALUE"""),43083.66666666667)</f>
        <v>43083.66667</v>
      </c>
      <c r="H16" s="3">
        <f>IFERROR(__xludf.DUMMYFUNCTION("""COMPUTED_VALUE"""),48.35)</f>
        <v>48.35</v>
      </c>
      <c r="I16" s="11">
        <f>IFERROR(__xludf.DUMMYFUNCTION("""COMPUTED_VALUE"""),43451.66666666667)</f>
        <v>43451.66667</v>
      </c>
      <c r="J16" s="3">
        <f>IFERROR(__xludf.DUMMYFUNCTION("""COMPUTED_VALUE"""),56.14)</f>
        <v>56.14</v>
      </c>
      <c r="K16" s="11">
        <f>IFERROR(__xludf.DUMMYFUNCTION("""COMPUTED_VALUE"""),43812.66666666667)</f>
        <v>43812.66667</v>
      </c>
      <c r="L16" s="3">
        <f>IFERROR(__xludf.DUMMYFUNCTION("""COMPUTED_VALUE"""),60.25)</f>
        <v>60.25</v>
      </c>
      <c r="M16" s="11">
        <f>IFERROR(__xludf.DUMMYFUNCTION("""COMPUTED_VALUE"""),44179.66666666667)</f>
        <v>44179.66667</v>
      </c>
      <c r="N16" s="3">
        <f>IFERROR(__xludf.DUMMYFUNCTION("""COMPUTED_VALUE"""),69.43)</f>
        <v>69.43</v>
      </c>
      <c r="O16" s="11">
        <f>IFERROR(__xludf.DUMMYFUNCTION("""COMPUTED_VALUE"""),44544.66666666667)</f>
        <v>44544.66667</v>
      </c>
      <c r="P16" s="3">
        <f>IFERROR(__xludf.DUMMYFUNCTION("""COMPUTED_VALUE"""),112.14)</f>
        <v>112.14</v>
      </c>
      <c r="Q16" s="11">
        <f>IFERROR(__xludf.DUMMYFUNCTION("""COMPUTED_VALUE"""),44909.66666666667)</f>
        <v>44909.66667</v>
      </c>
      <c r="R16" s="3">
        <f>IFERROR(__xludf.DUMMYFUNCTION("""COMPUTED_VALUE"""),114.03)</f>
        <v>114.03</v>
      </c>
      <c r="S16" s="12">
        <f>IFERROR(__xludf.DUMMYFUNCTION("""COMPUTED_VALUE"""),45274.66666666667)</f>
        <v>45274.66667</v>
      </c>
      <c r="T16" s="3">
        <f>IFERROR(__xludf.DUMMYFUNCTION("""COMPUTED_VALUE"""),73.22)</f>
        <v>73.22</v>
      </c>
      <c r="U16" s="12">
        <f>IFERROR(__xludf.DUMMYFUNCTION("""COMPUTED_VALUE"""),45639.66666666667)</f>
        <v>45639.66667</v>
      </c>
      <c r="V16" s="3">
        <f>IFERROR(__xludf.DUMMYFUNCTION("""COMPUTED_VALUE"""),27.34)</f>
        <v>27.34</v>
      </c>
      <c r="W16" s="3"/>
      <c r="X16" s="3"/>
      <c r="Y16" s="3"/>
      <c r="Z16" s="3"/>
      <c r="AA16" s="3"/>
      <c r="AB16" s="3"/>
      <c r="AC16" s="3"/>
      <c r="AD16" s="3"/>
    </row>
    <row r="17">
      <c r="A17" s="11">
        <f>IFERROR(__xludf.DUMMYFUNCTION("""COMPUTED_VALUE"""),41988.66666666667)</f>
        <v>41988.66667</v>
      </c>
      <c r="B17" s="3">
        <f>IFERROR(__xludf.DUMMYFUNCTION("""COMPUTED_VALUE"""),18.02)</f>
        <v>18.02</v>
      </c>
      <c r="C17" s="11">
        <f>IFERROR(__xludf.DUMMYFUNCTION("""COMPUTED_VALUE"""),42353.66666666667)</f>
        <v>42353.66667</v>
      </c>
      <c r="D17" s="3">
        <f>IFERROR(__xludf.DUMMYFUNCTION("""COMPUTED_VALUE"""),29.82)</f>
        <v>29.82</v>
      </c>
      <c r="E17" s="11">
        <f>IFERROR(__xludf.DUMMYFUNCTION("""COMPUTED_VALUE"""),42719.66666666667)</f>
        <v>42719.66667</v>
      </c>
      <c r="F17" s="3">
        <f>IFERROR(__xludf.DUMMYFUNCTION("""COMPUTED_VALUE"""),38.95)</f>
        <v>38.95</v>
      </c>
      <c r="G17" s="11">
        <f>IFERROR(__xludf.DUMMYFUNCTION("""COMPUTED_VALUE"""),43084.66666666667)</f>
        <v>43084.66667</v>
      </c>
      <c r="H17" s="3">
        <f>IFERROR(__xludf.DUMMYFUNCTION("""COMPUTED_VALUE"""),49.2)</f>
        <v>49.2</v>
      </c>
      <c r="I17" s="11">
        <f>IFERROR(__xludf.DUMMYFUNCTION("""COMPUTED_VALUE"""),43452.66666666667)</f>
        <v>43452.66667</v>
      </c>
      <c r="J17" s="3">
        <f>IFERROR(__xludf.DUMMYFUNCTION("""COMPUTED_VALUE"""),56.55)</f>
        <v>56.55</v>
      </c>
      <c r="K17" s="11">
        <f>IFERROR(__xludf.DUMMYFUNCTION("""COMPUTED_VALUE"""),43815.66666666667)</f>
        <v>43815.66667</v>
      </c>
      <c r="L17" s="3">
        <f>IFERROR(__xludf.DUMMYFUNCTION("""COMPUTED_VALUE"""),60.72)</f>
        <v>60.72</v>
      </c>
      <c r="M17" s="11">
        <f>IFERROR(__xludf.DUMMYFUNCTION("""COMPUTED_VALUE"""),44180.66666666667)</f>
        <v>44180.66667</v>
      </c>
      <c r="N17" s="3">
        <f>IFERROR(__xludf.DUMMYFUNCTION("""COMPUTED_VALUE"""),69.22)</f>
        <v>69.22</v>
      </c>
      <c r="O17" s="11">
        <f>IFERROR(__xludf.DUMMYFUNCTION("""COMPUTED_VALUE"""),44545.66666666667)</f>
        <v>44545.66667</v>
      </c>
      <c r="P17" s="3">
        <f>IFERROR(__xludf.DUMMYFUNCTION("""COMPUTED_VALUE"""),114.91)</f>
        <v>114.91</v>
      </c>
      <c r="Q17" s="11">
        <f>IFERROR(__xludf.DUMMYFUNCTION("""COMPUTED_VALUE"""),44910.66666666667)</f>
        <v>44910.66667</v>
      </c>
      <c r="R17" s="3">
        <f>IFERROR(__xludf.DUMMYFUNCTION("""COMPUTED_VALUE"""),108.97)</f>
        <v>108.97</v>
      </c>
      <c r="S17" s="12">
        <f>IFERROR(__xludf.DUMMYFUNCTION("""COMPUTED_VALUE"""),45275.66666666667)</f>
        <v>45275.66667</v>
      </c>
      <c r="T17" s="3">
        <f>IFERROR(__xludf.DUMMYFUNCTION("""COMPUTED_VALUE"""),72.31)</f>
        <v>72.31</v>
      </c>
      <c r="U17" s="12">
        <f>IFERROR(__xludf.DUMMYFUNCTION("""COMPUTED_VALUE"""),45642.66666666667)</f>
        <v>45642.66667</v>
      </c>
      <c r="V17" s="3">
        <f>IFERROR(__xludf.DUMMYFUNCTION("""COMPUTED_VALUE"""),26.54)</f>
        <v>26.54</v>
      </c>
      <c r="W17" s="3"/>
      <c r="X17" s="3"/>
      <c r="Y17" s="3"/>
      <c r="Z17" s="3"/>
      <c r="AA17" s="3"/>
      <c r="AB17" s="3"/>
      <c r="AC17" s="3"/>
      <c r="AD17" s="3"/>
    </row>
    <row r="18">
      <c r="A18" s="11">
        <f>IFERROR(__xludf.DUMMYFUNCTION("""COMPUTED_VALUE"""),41989.66666666667)</f>
        <v>41989.66667</v>
      </c>
      <c r="B18" s="3">
        <f>IFERROR(__xludf.DUMMYFUNCTION("""COMPUTED_VALUE"""),18.07)</f>
        <v>18.07</v>
      </c>
      <c r="C18" s="11">
        <f>IFERROR(__xludf.DUMMYFUNCTION("""COMPUTED_VALUE"""),42354.66666666667)</f>
        <v>42354.66667</v>
      </c>
      <c r="D18" s="3">
        <f>IFERROR(__xludf.DUMMYFUNCTION("""COMPUTED_VALUE"""),30.02)</f>
        <v>30.02</v>
      </c>
      <c r="E18" s="11">
        <f>IFERROR(__xludf.DUMMYFUNCTION("""COMPUTED_VALUE"""),42720.66666666667)</f>
        <v>42720.66667</v>
      </c>
      <c r="F18" s="3">
        <f>IFERROR(__xludf.DUMMYFUNCTION("""COMPUTED_VALUE"""),38.65)</f>
        <v>38.65</v>
      </c>
      <c r="G18" s="11">
        <f>IFERROR(__xludf.DUMMYFUNCTION("""COMPUTED_VALUE"""),43087.66666666667)</f>
        <v>43087.66667</v>
      </c>
      <c r="H18" s="3">
        <f>IFERROR(__xludf.DUMMYFUNCTION("""COMPUTED_VALUE"""),50.0)</f>
        <v>50</v>
      </c>
      <c r="I18" s="11">
        <f>IFERROR(__xludf.DUMMYFUNCTION("""COMPUTED_VALUE"""),43453.66666666667)</f>
        <v>43453.66667</v>
      </c>
      <c r="J18" s="3">
        <f>IFERROR(__xludf.DUMMYFUNCTION("""COMPUTED_VALUE"""),54.77)</f>
        <v>54.77</v>
      </c>
      <c r="K18" s="11">
        <f>IFERROR(__xludf.DUMMYFUNCTION("""COMPUTED_VALUE"""),43816.66666666667)</f>
        <v>43816.66667</v>
      </c>
      <c r="L18" s="3">
        <f>IFERROR(__xludf.DUMMYFUNCTION("""COMPUTED_VALUE"""),60.31)</f>
        <v>60.31</v>
      </c>
      <c r="M18" s="11">
        <f>IFERROR(__xludf.DUMMYFUNCTION("""COMPUTED_VALUE"""),44181.66666666667)</f>
        <v>44181.66667</v>
      </c>
      <c r="N18" s="3">
        <f>IFERROR(__xludf.DUMMYFUNCTION("""COMPUTED_VALUE"""),70.36)</f>
        <v>70.36</v>
      </c>
      <c r="O18" s="11">
        <f>IFERROR(__xludf.DUMMYFUNCTION("""COMPUTED_VALUE"""),44546.66666666667)</f>
        <v>44546.66667</v>
      </c>
      <c r="P18" s="3">
        <f>IFERROR(__xludf.DUMMYFUNCTION("""COMPUTED_VALUE"""),117.37)</f>
        <v>117.37</v>
      </c>
      <c r="Q18" s="11">
        <f>IFERROR(__xludf.DUMMYFUNCTION("""COMPUTED_VALUE"""),44911.66666666667)</f>
        <v>44911.66667</v>
      </c>
      <c r="R18" s="3">
        <f>IFERROR(__xludf.DUMMYFUNCTION("""COMPUTED_VALUE"""),105.61)</f>
        <v>105.61</v>
      </c>
      <c r="S18" s="12">
        <f>IFERROR(__xludf.DUMMYFUNCTION("""COMPUTED_VALUE"""),45278.66666666667)</f>
        <v>45278.66667</v>
      </c>
      <c r="T18" s="3">
        <f>IFERROR(__xludf.DUMMYFUNCTION("""COMPUTED_VALUE"""),70.96)</f>
        <v>70.96</v>
      </c>
      <c r="U18" s="12">
        <f>IFERROR(__xludf.DUMMYFUNCTION("""COMPUTED_VALUE"""),45643.66666666667)</f>
        <v>45643.66667</v>
      </c>
      <c r="V18" s="3">
        <f>IFERROR(__xludf.DUMMYFUNCTION("""COMPUTED_VALUE"""),25.92)</f>
        <v>25.92</v>
      </c>
      <c r="W18" s="3"/>
      <c r="X18" s="3"/>
      <c r="Y18" s="3"/>
      <c r="Z18" s="3"/>
      <c r="AA18" s="3"/>
      <c r="AB18" s="3"/>
      <c r="AC18" s="3"/>
      <c r="AD18" s="3"/>
    </row>
    <row r="19">
      <c r="A19" s="11">
        <f>IFERROR(__xludf.DUMMYFUNCTION("""COMPUTED_VALUE"""),41990.66666666667)</f>
        <v>41990.66667</v>
      </c>
      <c r="B19" s="3">
        <f>IFERROR(__xludf.DUMMYFUNCTION("""COMPUTED_VALUE"""),18.14)</f>
        <v>18.14</v>
      </c>
      <c r="C19" s="11">
        <f>IFERROR(__xludf.DUMMYFUNCTION("""COMPUTED_VALUE"""),42355.66666666667)</f>
        <v>42355.66667</v>
      </c>
      <c r="D19" s="3">
        <f>IFERROR(__xludf.DUMMYFUNCTION("""COMPUTED_VALUE"""),30.31)</f>
        <v>30.31</v>
      </c>
      <c r="E19" s="11">
        <f>IFERROR(__xludf.DUMMYFUNCTION("""COMPUTED_VALUE"""),42723.66666666667)</f>
        <v>42723.66667</v>
      </c>
      <c r="F19" s="3">
        <f>IFERROR(__xludf.DUMMYFUNCTION("""COMPUTED_VALUE"""),39.75)</f>
        <v>39.75</v>
      </c>
      <c r="G19" s="11">
        <f>IFERROR(__xludf.DUMMYFUNCTION("""COMPUTED_VALUE"""),43088.66666666667)</f>
        <v>43088.66667</v>
      </c>
      <c r="H19" s="3">
        <f>IFERROR(__xludf.DUMMYFUNCTION("""COMPUTED_VALUE"""),49.9)</f>
        <v>49.9</v>
      </c>
      <c r="I19" s="11">
        <f>IFERROR(__xludf.DUMMYFUNCTION("""COMPUTED_VALUE"""),43454.66666666667)</f>
        <v>43454.66667</v>
      </c>
      <c r="J19" s="3">
        <f>IFERROR(__xludf.DUMMYFUNCTION("""COMPUTED_VALUE"""),54.57)</f>
        <v>54.57</v>
      </c>
      <c r="K19" s="11">
        <f>IFERROR(__xludf.DUMMYFUNCTION("""COMPUTED_VALUE"""),43817.66666666667)</f>
        <v>43817.66667</v>
      </c>
      <c r="L19" s="3">
        <f>IFERROR(__xludf.DUMMYFUNCTION("""COMPUTED_VALUE"""),60.83)</f>
        <v>60.83</v>
      </c>
      <c r="M19" s="11">
        <f>IFERROR(__xludf.DUMMYFUNCTION("""COMPUTED_VALUE"""),44182.66666666667)</f>
        <v>44182.66667</v>
      </c>
      <c r="N19" s="3">
        <f>IFERROR(__xludf.DUMMYFUNCTION("""COMPUTED_VALUE"""),69.5)</f>
        <v>69.5</v>
      </c>
      <c r="O19" s="11">
        <f>IFERROR(__xludf.DUMMYFUNCTION("""COMPUTED_VALUE"""),44547.66666666667)</f>
        <v>44547.66667</v>
      </c>
      <c r="P19" s="3">
        <f>IFERROR(__xludf.DUMMYFUNCTION("""COMPUTED_VALUE"""),116.71)</f>
        <v>116.71</v>
      </c>
      <c r="Q19" s="11">
        <f>IFERROR(__xludf.DUMMYFUNCTION("""COMPUTED_VALUE"""),44914.66666666667)</f>
        <v>44914.66667</v>
      </c>
      <c r="R19" s="3">
        <f>IFERROR(__xludf.DUMMYFUNCTION("""COMPUTED_VALUE"""),104.5)</f>
        <v>104.5</v>
      </c>
      <c r="S19" s="12">
        <f>IFERROR(__xludf.DUMMYFUNCTION("""COMPUTED_VALUE"""),45279.66666666667)</f>
        <v>45279.66667</v>
      </c>
      <c r="T19" s="3">
        <f>IFERROR(__xludf.DUMMYFUNCTION("""COMPUTED_VALUE"""),71.72)</f>
        <v>71.72</v>
      </c>
      <c r="U19" s="12">
        <f>IFERROR(__xludf.DUMMYFUNCTION("""COMPUTED_VALUE"""),45644.66666666667)</f>
        <v>45644.66667</v>
      </c>
      <c r="V19" s="3">
        <f>IFERROR(__xludf.DUMMYFUNCTION("""COMPUTED_VALUE"""),24.96)</f>
        <v>24.96</v>
      </c>
      <c r="W19" s="3"/>
      <c r="X19" s="3"/>
      <c r="Y19" s="3"/>
      <c r="Z19" s="3"/>
      <c r="AA19" s="3"/>
      <c r="AB19" s="3"/>
      <c r="AC19" s="3"/>
      <c r="AD19" s="3"/>
    </row>
    <row r="20">
      <c r="A20" s="11">
        <f>IFERROR(__xludf.DUMMYFUNCTION("""COMPUTED_VALUE"""),41991.66666666667)</f>
        <v>41991.66667</v>
      </c>
      <c r="B20" s="3">
        <f>IFERROR(__xludf.DUMMYFUNCTION("""COMPUTED_VALUE"""),19.11)</f>
        <v>19.11</v>
      </c>
      <c r="C20" s="11">
        <f>IFERROR(__xludf.DUMMYFUNCTION("""COMPUTED_VALUE"""),42356.66666666667)</f>
        <v>42356.66667</v>
      </c>
      <c r="D20" s="3">
        <f>IFERROR(__xludf.DUMMYFUNCTION("""COMPUTED_VALUE"""),29.84)</f>
        <v>29.84</v>
      </c>
      <c r="E20" s="11">
        <f>IFERROR(__xludf.DUMMYFUNCTION("""COMPUTED_VALUE"""),42724.66666666667)</f>
        <v>42724.66667</v>
      </c>
      <c r="F20" s="3">
        <f>IFERROR(__xludf.DUMMYFUNCTION("""COMPUTED_VALUE"""),40.0)</f>
        <v>40</v>
      </c>
      <c r="G20" s="11">
        <f>IFERROR(__xludf.DUMMYFUNCTION("""COMPUTED_VALUE"""),43089.66666666667)</f>
        <v>43089.66667</v>
      </c>
      <c r="H20" s="3">
        <f>IFERROR(__xludf.DUMMYFUNCTION("""COMPUTED_VALUE"""),49.95)</f>
        <v>49.95</v>
      </c>
      <c r="I20" s="11">
        <f>IFERROR(__xludf.DUMMYFUNCTION("""COMPUTED_VALUE"""),43455.66666666667)</f>
        <v>43455.66667</v>
      </c>
      <c r="J20" s="3">
        <f>IFERROR(__xludf.DUMMYFUNCTION("""COMPUTED_VALUE"""),55.02)</f>
        <v>55.02</v>
      </c>
      <c r="K20" s="11">
        <f>IFERROR(__xludf.DUMMYFUNCTION("""COMPUTED_VALUE"""),43818.66666666667)</f>
        <v>43818.66667</v>
      </c>
      <c r="L20" s="3">
        <f>IFERROR(__xludf.DUMMYFUNCTION("""COMPUTED_VALUE"""),61.41)</f>
        <v>61.41</v>
      </c>
      <c r="M20" s="11">
        <f>IFERROR(__xludf.DUMMYFUNCTION("""COMPUTED_VALUE"""),44183.66666666667)</f>
        <v>44183.66667</v>
      </c>
      <c r="N20" s="3">
        <f>IFERROR(__xludf.DUMMYFUNCTION("""COMPUTED_VALUE"""),68.82)</f>
        <v>68.82</v>
      </c>
      <c r="O20" s="11">
        <f>IFERROR(__xludf.DUMMYFUNCTION("""COMPUTED_VALUE"""),44550.66666666667)</f>
        <v>44550.66667</v>
      </c>
      <c r="P20" s="3">
        <f>IFERROR(__xludf.DUMMYFUNCTION("""COMPUTED_VALUE"""),120.78)</f>
        <v>120.78</v>
      </c>
      <c r="Q20" s="11">
        <f>IFERROR(__xludf.DUMMYFUNCTION("""COMPUTED_VALUE"""),44915.66666666667)</f>
        <v>44915.66667</v>
      </c>
      <c r="R20" s="3">
        <f>IFERROR(__xludf.DUMMYFUNCTION("""COMPUTED_VALUE"""),103.36)</f>
        <v>103.36</v>
      </c>
      <c r="S20" s="12">
        <f>IFERROR(__xludf.DUMMYFUNCTION("""COMPUTED_VALUE"""),45280.66666666667)</f>
        <v>45280.66667</v>
      </c>
      <c r="T20" s="3">
        <f>IFERROR(__xludf.DUMMYFUNCTION("""COMPUTED_VALUE"""),72.32)</f>
        <v>72.32</v>
      </c>
      <c r="U20" s="12">
        <f>IFERROR(__xludf.DUMMYFUNCTION("""COMPUTED_VALUE"""),45645.66666666667)</f>
        <v>45645.66667</v>
      </c>
      <c r="V20" s="3">
        <f>IFERROR(__xludf.DUMMYFUNCTION("""COMPUTED_VALUE"""),23.78)</f>
        <v>23.78</v>
      </c>
      <c r="W20" s="3"/>
      <c r="X20" s="3"/>
      <c r="Y20" s="3"/>
      <c r="Z20" s="3"/>
      <c r="AA20" s="3"/>
      <c r="AB20" s="3"/>
      <c r="AC20" s="3"/>
      <c r="AD20" s="3"/>
    </row>
    <row r="21" ht="15.75" customHeight="1">
      <c r="A21" s="11">
        <f>IFERROR(__xludf.DUMMYFUNCTION("""COMPUTED_VALUE"""),41992.66666666667)</f>
        <v>41992.66667</v>
      </c>
      <c r="B21" s="3">
        <f>IFERROR(__xludf.DUMMYFUNCTION("""COMPUTED_VALUE"""),19.87)</f>
        <v>19.87</v>
      </c>
      <c r="C21" s="11">
        <f>IFERROR(__xludf.DUMMYFUNCTION("""COMPUTED_VALUE"""),42359.66666666667)</f>
        <v>42359.66667</v>
      </c>
      <c r="D21" s="3">
        <f>IFERROR(__xludf.DUMMYFUNCTION("""COMPUTED_VALUE"""),30.38)</f>
        <v>30.38</v>
      </c>
      <c r="E21" s="11">
        <f>IFERROR(__xludf.DUMMYFUNCTION("""COMPUTED_VALUE"""),42725.66666666667)</f>
        <v>42725.66667</v>
      </c>
      <c r="F21" s="3">
        <f>IFERROR(__xludf.DUMMYFUNCTION("""COMPUTED_VALUE"""),39.8)</f>
        <v>39.8</v>
      </c>
      <c r="G21" s="11">
        <f>IFERROR(__xludf.DUMMYFUNCTION("""COMPUTED_VALUE"""),43090.66666666667)</f>
        <v>43090.66667</v>
      </c>
      <c r="H21" s="3">
        <f>IFERROR(__xludf.DUMMYFUNCTION("""COMPUTED_VALUE"""),49.95)</f>
        <v>49.95</v>
      </c>
      <c r="I21" s="11">
        <f>IFERROR(__xludf.DUMMYFUNCTION("""COMPUTED_VALUE"""),43458.54166666667)</f>
        <v>43458.54167</v>
      </c>
      <c r="J21" s="3">
        <f>IFERROR(__xludf.DUMMYFUNCTION("""COMPUTED_VALUE"""),53.64)</f>
        <v>53.64</v>
      </c>
      <c r="K21" s="11">
        <f>IFERROR(__xludf.DUMMYFUNCTION("""COMPUTED_VALUE"""),43819.66666666667)</f>
        <v>43819.66667</v>
      </c>
      <c r="L21" s="3">
        <f>IFERROR(__xludf.DUMMYFUNCTION("""COMPUTED_VALUE"""),61.59)</f>
        <v>61.59</v>
      </c>
      <c r="M21" s="11">
        <f>IFERROR(__xludf.DUMMYFUNCTION("""COMPUTED_VALUE"""),44186.66666666667)</f>
        <v>44186.66667</v>
      </c>
      <c r="N21" s="3">
        <f>IFERROR(__xludf.DUMMYFUNCTION("""COMPUTED_VALUE"""),68.97)</f>
        <v>68.97</v>
      </c>
      <c r="O21" s="11">
        <f>IFERROR(__xludf.DUMMYFUNCTION("""COMPUTED_VALUE"""),44551.66666666667)</f>
        <v>44551.66667</v>
      </c>
      <c r="P21" s="3">
        <f>IFERROR(__xludf.DUMMYFUNCTION("""COMPUTED_VALUE"""),120.84)</f>
        <v>120.84</v>
      </c>
      <c r="Q21" s="11">
        <f>IFERROR(__xludf.DUMMYFUNCTION("""COMPUTED_VALUE"""),44916.66666666667)</f>
        <v>44916.66667</v>
      </c>
      <c r="R21" s="3">
        <f>IFERROR(__xludf.DUMMYFUNCTION("""COMPUTED_VALUE"""),104.05)</f>
        <v>104.05</v>
      </c>
      <c r="S21" s="12">
        <f>IFERROR(__xludf.DUMMYFUNCTION("""COMPUTED_VALUE"""),45281.66666666667)</f>
        <v>45281.66667</v>
      </c>
      <c r="T21" s="3">
        <f>IFERROR(__xludf.DUMMYFUNCTION("""COMPUTED_VALUE"""),73.39)</f>
        <v>73.39</v>
      </c>
      <c r="U21" s="12">
        <f>IFERROR(__xludf.DUMMYFUNCTION("""COMPUTED_VALUE"""),45646.66666666667)</f>
        <v>45646.66667</v>
      </c>
      <c r="V21" s="3">
        <f>IFERROR(__xludf.DUMMYFUNCTION("""COMPUTED_VALUE"""),23.38)</f>
        <v>23.38</v>
      </c>
      <c r="W21" s="3"/>
      <c r="X21" s="3"/>
      <c r="Y21" s="3"/>
      <c r="Z21" s="3"/>
      <c r="AA21" s="3"/>
      <c r="AB21" s="3"/>
      <c r="AC21" s="3"/>
      <c r="AD21" s="3"/>
    </row>
    <row r="22" ht="15.75" customHeight="1">
      <c r="A22" s="11">
        <f>IFERROR(__xludf.DUMMYFUNCTION("""COMPUTED_VALUE"""),41995.66666666667)</f>
        <v>41995.66667</v>
      </c>
      <c r="B22" s="3">
        <f>IFERROR(__xludf.DUMMYFUNCTION("""COMPUTED_VALUE"""),20.33)</f>
        <v>20.33</v>
      </c>
      <c r="C22" s="11">
        <f>IFERROR(__xludf.DUMMYFUNCTION("""COMPUTED_VALUE"""),42360.66666666667)</f>
        <v>42360.66667</v>
      </c>
      <c r="D22" s="3">
        <f>IFERROR(__xludf.DUMMYFUNCTION("""COMPUTED_VALUE"""),30.62)</f>
        <v>30.62</v>
      </c>
      <c r="E22" s="11">
        <f>IFERROR(__xludf.DUMMYFUNCTION("""COMPUTED_VALUE"""),42726.66666666667)</f>
        <v>42726.66667</v>
      </c>
      <c r="F22" s="3">
        <f>IFERROR(__xludf.DUMMYFUNCTION("""COMPUTED_VALUE"""),39.75)</f>
        <v>39.75</v>
      </c>
      <c r="G22" s="11">
        <f>IFERROR(__xludf.DUMMYFUNCTION("""COMPUTED_VALUE"""),43091.66666666667)</f>
        <v>43091.66667</v>
      </c>
      <c r="H22" s="3">
        <f>IFERROR(__xludf.DUMMYFUNCTION("""COMPUTED_VALUE"""),48.85)</f>
        <v>48.85</v>
      </c>
      <c r="I22" s="11">
        <f>IFERROR(__xludf.DUMMYFUNCTION("""COMPUTED_VALUE"""),43460.66666666667)</f>
        <v>43460.66667</v>
      </c>
      <c r="J22" s="3">
        <f>IFERROR(__xludf.DUMMYFUNCTION("""COMPUTED_VALUE"""),55.81)</f>
        <v>55.81</v>
      </c>
      <c r="K22" s="11">
        <f>IFERROR(__xludf.DUMMYFUNCTION("""COMPUTED_VALUE"""),43822.66666666667)</f>
        <v>43822.66667</v>
      </c>
      <c r="L22" s="3">
        <f>IFERROR(__xludf.DUMMYFUNCTION("""COMPUTED_VALUE"""),61.65)</f>
        <v>61.65</v>
      </c>
      <c r="M22" s="11">
        <f>IFERROR(__xludf.DUMMYFUNCTION("""COMPUTED_VALUE"""),44187.66666666667)</f>
        <v>44187.66667</v>
      </c>
      <c r="N22" s="3">
        <f>IFERROR(__xludf.DUMMYFUNCTION("""COMPUTED_VALUE"""),69.29)</f>
        <v>69.29</v>
      </c>
      <c r="O22" s="11">
        <f>IFERROR(__xludf.DUMMYFUNCTION("""COMPUTED_VALUE"""),44552.66666666667)</f>
        <v>44552.66667</v>
      </c>
      <c r="P22" s="3">
        <f>IFERROR(__xludf.DUMMYFUNCTION("""COMPUTED_VALUE"""),121.63)</f>
        <v>121.63</v>
      </c>
      <c r="Q22" s="11">
        <f>IFERROR(__xludf.DUMMYFUNCTION("""COMPUTED_VALUE"""),44917.66666666667)</f>
        <v>44917.66667</v>
      </c>
      <c r="R22" s="3">
        <f>IFERROR(__xludf.DUMMYFUNCTION("""COMPUTED_VALUE"""),104.87)</f>
        <v>104.87</v>
      </c>
      <c r="S22" s="12">
        <f>IFERROR(__xludf.DUMMYFUNCTION("""COMPUTED_VALUE"""),45282.66666666667)</f>
        <v>45282.66667</v>
      </c>
      <c r="T22" s="3">
        <f>IFERROR(__xludf.DUMMYFUNCTION("""COMPUTED_VALUE"""),74.91)</f>
        <v>74.91</v>
      </c>
      <c r="U22" s="12">
        <f>IFERROR(__xludf.DUMMYFUNCTION("""COMPUTED_VALUE"""),45649.66666666667)</f>
        <v>45649.66667</v>
      </c>
      <c r="V22" s="3">
        <f>IFERROR(__xludf.DUMMYFUNCTION("""COMPUTED_VALUE"""),23.56)</f>
        <v>23.56</v>
      </c>
      <c r="W22" s="3"/>
      <c r="X22" s="3"/>
      <c r="Y22" s="3"/>
      <c r="Z22" s="3"/>
      <c r="AA22" s="3"/>
      <c r="AB22" s="3"/>
      <c r="AC22" s="3"/>
      <c r="AD22" s="3"/>
    </row>
    <row r="23" ht="15.75" customHeight="1">
      <c r="A23" s="11">
        <f>IFERROR(__xludf.DUMMYFUNCTION("""COMPUTED_VALUE"""),41996.66666666667)</f>
        <v>41996.66667</v>
      </c>
      <c r="B23" s="3">
        <f>IFERROR(__xludf.DUMMYFUNCTION("""COMPUTED_VALUE"""),20.31)</f>
        <v>20.31</v>
      </c>
      <c r="C23" s="11">
        <f>IFERROR(__xludf.DUMMYFUNCTION("""COMPUTED_VALUE"""),42361.66666666667)</f>
        <v>42361.66667</v>
      </c>
      <c r="D23" s="3">
        <f>IFERROR(__xludf.DUMMYFUNCTION("""COMPUTED_VALUE"""),30.74)</f>
        <v>30.74</v>
      </c>
      <c r="E23" s="11">
        <f>IFERROR(__xludf.DUMMYFUNCTION("""COMPUTED_VALUE"""),42727.66666666667)</f>
        <v>42727.66667</v>
      </c>
      <c r="F23" s="3">
        <f>IFERROR(__xludf.DUMMYFUNCTION("""COMPUTED_VALUE"""),39.5)</f>
        <v>39.5</v>
      </c>
      <c r="G23" s="11">
        <f>IFERROR(__xludf.DUMMYFUNCTION("""COMPUTED_VALUE"""),43095.66666666667)</f>
        <v>43095.66667</v>
      </c>
      <c r="H23" s="3">
        <f>IFERROR(__xludf.DUMMYFUNCTION("""COMPUTED_VALUE"""),49.35)</f>
        <v>49.35</v>
      </c>
      <c r="I23" s="11">
        <f>IFERROR(__xludf.DUMMYFUNCTION("""COMPUTED_VALUE"""),43461.66666666667)</f>
        <v>43461.66667</v>
      </c>
      <c r="J23" s="3">
        <f>IFERROR(__xludf.DUMMYFUNCTION("""COMPUTED_VALUE"""),56.44)</f>
        <v>56.44</v>
      </c>
      <c r="K23" s="11">
        <f>IFERROR(__xludf.DUMMYFUNCTION("""COMPUTED_VALUE"""),43823.54166666667)</f>
        <v>43823.54167</v>
      </c>
      <c r="L23" s="3">
        <f>IFERROR(__xludf.DUMMYFUNCTION("""COMPUTED_VALUE"""),61.6)</f>
        <v>61.6</v>
      </c>
      <c r="M23" s="11">
        <f>IFERROR(__xludf.DUMMYFUNCTION("""COMPUTED_VALUE"""),44188.66666666667)</f>
        <v>44188.66667</v>
      </c>
      <c r="N23" s="3">
        <f>IFERROR(__xludf.DUMMYFUNCTION("""COMPUTED_VALUE"""),70.39)</f>
        <v>70.39</v>
      </c>
      <c r="O23" s="11">
        <f>IFERROR(__xludf.DUMMYFUNCTION("""COMPUTED_VALUE"""),44553.66666666667)</f>
        <v>44553.66667</v>
      </c>
      <c r="P23" s="3">
        <f>IFERROR(__xludf.DUMMYFUNCTION("""COMPUTED_VALUE"""),122.71)</f>
        <v>122.71</v>
      </c>
      <c r="Q23" s="11">
        <f>IFERROR(__xludf.DUMMYFUNCTION("""COMPUTED_VALUE"""),44918.66666666667)</f>
        <v>44918.66667</v>
      </c>
      <c r="R23" s="3">
        <f>IFERROR(__xludf.DUMMYFUNCTION("""COMPUTED_VALUE"""),103.75)</f>
        <v>103.75</v>
      </c>
      <c r="S23" s="12">
        <f>IFERROR(__xludf.DUMMYFUNCTION("""COMPUTED_VALUE"""),45286.66666666667)</f>
        <v>45286.66667</v>
      </c>
      <c r="T23" s="3">
        <f>IFERROR(__xludf.DUMMYFUNCTION("""COMPUTED_VALUE"""),75.93)</f>
        <v>75.93</v>
      </c>
      <c r="U23" s="12">
        <f>IFERROR(__xludf.DUMMYFUNCTION("""COMPUTED_VALUE"""),45650.54166666667)</f>
        <v>45650.54167</v>
      </c>
      <c r="V23" s="3">
        <f>IFERROR(__xludf.DUMMYFUNCTION("""COMPUTED_VALUE"""),23.5)</f>
        <v>23.5</v>
      </c>
      <c r="W23" s="3"/>
      <c r="X23" s="3"/>
      <c r="Y23" s="3"/>
      <c r="Z23" s="3"/>
      <c r="AA23" s="3"/>
      <c r="AB23" s="3"/>
      <c r="AC23" s="3"/>
      <c r="AD23" s="3"/>
    </row>
    <row r="24" ht="15.75" customHeight="1">
      <c r="A24" s="3">
        <f>IFERROR(__xludf.DUMMYFUNCTION("""COMPUTED_VALUE"""),41997.66666666667)</f>
        <v>41997.66667</v>
      </c>
      <c r="B24" s="3">
        <f>IFERROR(__xludf.DUMMYFUNCTION("""COMPUTED_VALUE"""),20.0)</f>
        <v>20</v>
      </c>
      <c r="C24" s="11">
        <f>IFERROR(__xludf.DUMMYFUNCTION("""COMPUTED_VALUE"""),42362.66666666667)</f>
        <v>42362.66667</v>
      </c>
      <c r="D24" s="3">
        <f>IFERROR(__xludf.DUMMYFUNCTION("""COMPUTED_VALUE"""),30.91)</f>
        <v>30.91</v>
      </c>
      <c r="E24" s="11">
        <f>IFERROR(__xludf.DUMMYFUNCTION("""COMPUTED_VALUE"""),42731.66666666667)</f>
        <v>42731.66667</v>
      </c>
      <c r="F24" s="3">
        <f>IFERROR(__xludf.DUMMYFUNCTION("""COMPUTED_VALUE"""),39.75)</f>
        <v>39.75</v>
      </c>
      <c r="G24" s="11">
        <f>IFERROR(__xludf.DUMMYFUNCTION("""COMPUTED_VALUE"""),43096.66666666667)</f>
        <v>43096.66667</v>
      </c>
      <c r="H24" s="3">
        <f>IFERROR(__xludf.DUMMYFUNCTION("""COMPUTED_VALUE"""),49.45)</f>
        <v>49.45</v>
      </c>
      <c r="I24" s="11">
        <f>IFERROR(__xludf.DUMMYFUNCTION("""COMPUTED_VALUE"""),43462.66666666667)</f>
        <v>43462.66667</v>
      </c>
      <c r="J24" s="3">
        <f>IFERROR(__xludf.DUMMYFUNCTION("""COMPUTED_VALUE"""),57.36)</f>
        <v>57.36</v>
      </c>
      <c r="K24" s="11">
        <f>IFERROR(__xludf.DUMMYFUNCTION("""COMPUTED_VALUE"""),43825.66666666667)</f>
        <v>43825.66667</v>
      </c>
      <c r="L24" s="3">
        <f>IFERROR(__xludf.DUMMYFUNCTION("""COMPUTED_VALUE"""),61.87)</f>
        <v>61.87</v>
      </c>
      <c r="M24" s="11">
        <f>IFERROR(__xludf.DUMMYFUNCTION("""COMPUTED_VALUE"""),44189.54166666667)</f>
        <v>44189.54167</v>
      </c>
      <c r="N24" s="3">
        <f>IFERROR(__xludf.DUMMYFUNCTION("""COMPUTED_VALUE"""),70.0)</f>
        <v>70</v>
      </c>
      <c r="O24" s="11">
        <f>IFERROR(__xludf.DUMMYFUNCTION("""COMPUTED_VALUE"""),44557.66666666667)</f>
        <v>44557.66667</v>
      </c>
      <c r="P24" s="3">
        <f>IFERROR(__xludf.DUMMYFUNCTION("""COMPUTED_VALUE"""),129.12)</f>
        <v>129.12</v>
      </c>
      <c r="Q24" s="11">
        <f>IFERROR(__xludf.DUMMYFUNCTION("""COMPUTED_VALUE"""),44922.66666666667)</f>
        <v>44922.66667</v>
      </c>
      <c r="R24" s="3">
        <f>IFERROR(__xludf.DUMMYFUNCTION("""COMPUTED_VALUE"""),103.34)</f>
        <v>103.34</v>
      </c>
      <c r="S24" s="11">
        <f>IFERROR(__xludf.DUMMYFUNCTION("""COMPUTED_VALUE"""),45287.66666666667)</f>
        <v>45287.66667</v>
      </c>
      <c r="T24" s="3">
        <f>IFERROR(__xludf.DUMMYFUNCTION("""COMPUTED_VALUE"""),76.64)</f>
        <v>76.64</v>
      </c>
      <c r="U24" s="12">
        <f>IFERROR(__xludf.DUMMYFUNCTION("""COMPUTED_VALUE"""),45652.66666666667)</f>
        <v>45652.66667</v>
      </c>
      <c r="V24" s="3">
        <f>IFERROR(__xludf.DUMMYFUNCTION("""COMPUTED_VALUE"""),24.33)</f>
        <v>24.33</v>
      </c>
      <c r="W24" s="3"/>
      <c r="X24" s="3"/>
      <c r="Y24" s="3"/>
      <c r="Z24" s="3"/>
      <c r="AA24" s="3"/>
      <c r="AB24" s="3"/>
      <c r="AC24" s="3"/>
      <c r="AD24" s="3"/>
    </row>
    <row r="25" ht="15.75" customHeight="1">
      <c r="A25" s="3">
        <f>IFERROR(__xludf.DUMMYFUNCTION("""COMPUTED_VALUE"""),41999.66666666667)</f>
        <v>41999.66667</v>
      </c>
      <c r="B25" s="3">
        <f>IFERROR(__xludf.DUMMYFUNCTION("""COMPUTED_VALUE"""),20.2)</f>
        <v>20.2</v>
      </c>
      <c r="C25" s="11">
        <f>IFERROR(__xludf.DUMMYFUNCTION("""COMPUTED_VALUE"""),42366.66666666667)</f>
        <v>42366.66667</v>
      </c>
      <c r="D25" s="3">
        <f>IFERROR(__xludf.DUMMYFUNCTION("""COMPUTED_VALUE"""),30.94)</f>
        <v>30.94</v>
      </c>
      <c r="E25" s="11">
        <f>IFERROR(__xludf.DUMMYFUNCTION("""COMPUTED_VALUE"""),42732.66666666667)</f>
        <v>42732.66667</v>
      </c>
      <c r="F25" s="3">
        <f>IFERROR(__xludf.DUMMYFUNCTION("""COMPUTED_VALUE"""),39.7)</f>
        <v>39.7</v>
      </c>
      <c r="G25" s="11">
        <f>IFERROR(__xludf.DUMMYFUNCTION("""COMPUTED_VALUE"""),43097.66666666667)</f>
        <v>43097.66667</v>
      </c>
      <c r="H25" s="3">
        <f>IFERROR(__xludf.DUMMYFUNCTION("""COMPUTED_VALUE"""),50.1)</f>
        <v>50.1</v>
      </c>
      <c r="I25" s="3">
        <f>IFERROR(__xludf.DUMMYFUNCTION("""COMPUTED_VALUE"""),43465.66666666667)</f>
        <v>43465.66667</v>
      </c>
      <c r="J25" s="3">
        <f>IFERROR(__xludf.DUMMYFUNCTION("""COMPUTED_VALUE"""),57.15)</f>
        <v>57.15</v>
      </c>
      <c r="K25" s="11">
        <f>IFERROR(__xludf.DUMMYFUNCTION("""COMPUTED_VALUE"""),43826.66666666667)</f>
        <v>43826.66667</v>
      </c>
      <c r="L25" s="3">
        <f>IFERROR(__xludf.DUMMYFUNCTION("""COMPUTED_VALUE"""),61.85)</f>
        <v>61.85</v>
      </c>
      <c r="M25" s="3">
        <f>IFERROR(__xludf.DUMMYFUNCTION("""COMPUTED_VALUE"""),44193.66666666667)</f>
        <v>44193.66667</v>
      </c>
      <c r="N25" s="3">
        <f>IFERROR(__xludf.DUMMYFUNCTION("""COMPUTED_VALUE"""),69.85)</f>
        <v>69.85</v>
      </c>
      <c r="O25" s="3">
        <f>IFERROR(__xludf.DUMMYFUNCTION("""COMPUTED_VALUE"""),44558.66666666667)</f>
        <v>44558.66667</v>
      </c>
      <c r="P25" s="3">
        <f>IFERROR(__xludf.DUMMYFUNCTION("""COMPUTED_VALUE"""),126.17)</f>
        <v>126.17</v>
      </c>
      <c r="Q25" s="11">
        <f>IFERROR(__xludf.DUMMYFUNCTION("""COMPUTED_VALUE"""),44923.66666666667)</f>
        <v>44923.66667</v>
      </c>
      <c r="R25" s="3">
        <f>IFERROR(__xludf.DUMMYFUNCTION("""COMPUTED_VALUE"""),103.57)</f>
        <v>103.57</v>
      </c>
      <c r="S25" s="11">
        <f>IFERROR(__xludf.DUMMYFUNCTION("""COMPUTED_VALUE"""),45288.66666666667)</f>
        <v>45288.66667</v>
      </c>
      <c r="T25" s="3">
        <f>IFERROR(__xludf.DUMMYFUNCTION("""COMPUTED_VALUE"""),75.66)</f>
        <v>75.66</v>
      </c>
      <c r="U25" s="12">
        <f>IFERROR(__xludf.DUMMYFUNCTION("""COMPUTED_VALUE"""),45653.66666666667)</f>
        <v>45653.66667</v>
      </c>
      <c r="V25" s="3">
        <f>IFERROR(__xludf.DUMMYFUNCTION("""COMPUTED_VALUE"""),24.28)</f>
        <v>24.28</v>
      </c>
      <c r="W25" s="3"/>
      <c r="X25" s="3"/>
      <c r="Y25" s="3"/>
      <c r="Z25" s="3"/>
      <c r="AA25" s="3"/>
      <c r="AB25" s="3"/>
      <c r="AC25" s="3"/>
      <c r="AD25" s="3"/>
    </row>
    <row r="26" ht="15.75" customHeight="1">
      <c r="A26" s="3">
        <f>IFERROR(__xludf.DUMMYFUNCTION("""COMPUTED_VALUE"""),42002.66666666667)</f>
        <v>42002.66667</v>
      </c>
      <c r="B26" s="3">
        <f>IFERROR(__xludf.DUMMYFUNCTION("""COMPUTED_VALUE"""),20.1)</f>
        <v>20.1</v>
      </c>
      <c r="C26" s="11">
        <f>IFERROR(__xludf.DUMMYFUNCTION("""COMPUTED_VALUE"""),42367.66666666667)</f>
        <v>42367.66667</v>
      </c>
      <c r="D26" s="3">
        <f>IFERROR(__xludf.DUMMYFUNCTION("""COMPUTED_VALUE"""),31.43)</f>
        <v>31.43</v>
      </c>
      <c r="E26" s="13">
        <f>IFERROR(__xludf.DUMMYFUNCTION("""COMPUTED_VALUE"""),42733.66666666667)</f>
        <v>42733.66667</v>
      </c>
      <c r="F26" s="3">
        <f>IFERROR(__xludf.DUMMYFUNCTION("""COMPUTED_VALUE"""),39.9)</f>
        <v>39.9</v>
      </c>
      <c r="G26" s="11">
        <f>IFERROR(__xludf.DUMMYFUNCTION("""COMPUTED_VALUE"""),43098.66666666667)</f>
        <v>43098.66667</v>
      </c>
      <c r="H26" s="3">
        <f>IFERROR(__xludf.DUMMYFUNCTION("""COMPUTED_VALUE"""),50.0)</f>
        <v>50</v>
      </c>
      <c r="I26" s="3"/>
      <c r="J26" s="3"/>
      <c r="K26" s="11">
        <f>IFERROR(__xludf.DUMMYFUNCTION("""COMPUTED_VALUE"""),43829.66666666667)</f>
        <v>43829.66667</v>
      </c>
      <c r="L26" s="3">
        <f>IFERROR(__xludf.DUMMYFUNCTION("""COMPUTED_VALUE"""),62.19)</f>
        <v>62.19</v>
      </c>
      <c r="M26" s="3">
        <f>IFERROR(__xludf.DUMMYFUNCTION("""COMPUTED_VALUE"""),44194.66666666667)</f>
        <v>44194.66667</v>
      </c>
      <c r="N26" s="3">
        <f>IFERROR(__xludf.DUMMYFUNCTION("""COMPUTED_VALUE"""),69.91)</f>
        <v>69.91</v>
      </c>
      <c r="O26" s="3">
        <f>IFERROR(__xludf.DUMMYFUNCTION("""COMPUTED_VALUE"""),44559.66666666667)</f>
        <v>44559.66667</v>
      </c>
      <c r="P26" s="3">
        <f>IFERROR(__xludf.DUMMYFUNCTION("""COMPUTED_VALUE"""),123.11)</f>
        <v>123.11</v>
      </c>
      <c r="Q26" s="11">
        <f>IFERROR(__xludf.DUMMYFUNCTION("""COMPUTED_VALUE"""),44924.66666666667)</f>
        <v>44924.66667</v>
      </c>
      <c r="R26" s="11">
        <f>IFERROR(__xludf.DUMMYFUNCTION("""COMPUTED_VALUE"""),104.15)</f>
        <v>104.15</v>
      </c>
      <c r="S26" s="11">
        <f>IFERROR(__xludf.DUMMYFUNCTION("""COMPUTED_VALUE"""),45289.66666666667)</f>
        <v>45289.66667</v>
      </c>
      <c r="T26" s="3">
        <f>IFERROR(__xludf.DUMMYFUNCTION("""COMPUTED_VALUE"""),75.56)</f>
        <v>75.56</v>
      </c>
      <c r="U26" s="12">
        <f>IFERROR(__xludf.DUMMYFUNCTION("""COMPUTED_VALUE"""),45656.66666666667)</f>
        <v>45656.66667</v>
      </c>
      <c r="V26" s="3">
        <f>IFERROR(__xludf.DUMMYFUNCTION("""COMPUTED_VALUE"""),24.38)</f>
        <v>24.38</v>
      </c>
      <c r="W26" s="3"/>
      <c r="X26" s="3"/>
      <c r="Y26" s="3"/>
      <c r="Z26" s="3"/>
      <c r="AA26" s="3"/>
      <c r="AB26" s="3"/>
      <c r="AC26" s="3"/>
      <c r="AD26" s="3"/>
    </row>
    <row r="27" ht="15.75" customHeight="1">
      <c r="A27" s="3">
        <f>IFERROR(__xludf.DUMMYFUNCTION("""COMPUTED_VALUE"""),42003.66666666667)</f>
        <v>42003.66667</v>
      </c>
      <c r="B27" s="3">
        <f>IFERROR(__xludf.DUMMYFUNCTION("""COMPUTED_VALUE"""),20.07)</f>
        <v>20.07</v>
      </c>
      <c r="C27" s="3">
        <f>IFERROR(__xludf.DUMMYFUNCTION("""COMPUTED_VALUE"""),42368.66666666667)</f>
        <v>42368.66667</v>
      </c>
      <c r="D27" s="3">
        <f>IFERROR(__xludf.DUMMYFUNCTION("""COMPUTED_VALUE"""),31.7)</f>
        <v>31.7</v>
      </c>
      <c r="E27" s="3">
        <f>IFERROR(__xludf.DUMMYFUNCTION("""COMPUTED_VALUE"""),42734.66666666667)</f>
        <v>42734.66667</v>
      </c>
      <c r="F27" s="3">
        <f>IFERROR(__xludf.DUMMYFUNCTION("""COMPUTED_VALUE"""),39.1)</f>
        <v>39.1</v>
      </c>
      <c r="G27" s="13"/>
      <c r="H27" s="3"/>
      <c r="I27" s="3"/>
      <c r="J27" s="3"/>
      <c r="K27" s="11">
        <f>IFERROR(__xludf.DUMMYFUNCTION("""COMPUTED_VALUE"""),43830.66666666667)</f>
        <v>43830.66667</v>
      </c>
      <c r="L27" s="3">
        <f>IFERROR(__xludf.DUMMYFUNCTION("""COMPUTED_VALUE"""),62.58)</f>
        <v>62.58</v>
      </c>
      <c r="M27" s="3">
        <f>IFERROR(__xludf.DUMMYFUNCTION("""COMPUTED_VALUE"""),44195.66666666667)</f>
        <v>44195.66667</v>
      </c>
      <c r="N27" s="3">
        <f>IFERROR(__xludf.DUMMYFUNCTION("""COMPUTED_VALUE"""),69.35)</f>
        <v>69.35</v>
      </c>
      <c r="O27" s="3">
        <f>IFERROR(__xludf.DUMMYFUNCTION("""COMPUTED_VALUE"""),44560.66666666667)</f>
        <v>44560.66667</v>
      </c>
      <c r="P27" s="3">
        <f>IFERROR(__xludf.DUMMYFUNCTION("""COMPUTED_VALUE"""),123.52)</f>
        <v>123.52</v>
      </c>
      <c r="Q27" s="11">
        <f>IFERROR(__xludf.DUMMYFUNCTION("""COMPUTED_VALUE"""),44925.66666666667)</f>
        <v>44925.66667</v>
      </c>
      <c r="R27" s="3">
        <f>IFERROR(__xludf.DUMMYFUNCTION("""COMPUTED_VALUE"""),103.3)</f>
        <v>103.3</v>
      </c>
      <c r="S27" s="13"/>
      <c r="T27" s="3"/>
      <c r="U27" s="3">
        <f>IFERROR(__xludf.DUMMYFUNCTION("""COMPUTED_VALUE"""),45657.66666666667)</f>
        <v>45657.66667</v>
      </c>
      <c r="V27" s="3">
        <f>IFERROR(__xludf.DUMMYFUNCTION("""COMPUTED_VALUE"""),24.5)</f>
        <v>24.5</v>
      </c>
      <c r="W27" s="3"/>
      <c r="X27" s="3"/>
      <c r="Y27" s="3"/>
      <c r="Z27" s="3"/>
      <c r="AA27" s="3"/>
      <c r="AB27" s="3"/>
      <c r="AC27" s="3"/>
      <c r="AD27" s="3"/>
    </row>
    <row r="28" ht="15.75" customHeight="1">
      <c r="A28" s="3">
        <f>IFERROR(__xludf.DUMMYFUNCTION("""COMPUTED_VALUE"""),42004.66666666667)</f>
        <v>42004.66667</v>
      </c>
      <c r="B28" s="3">
        <f>IFERROR(__xludf.DUMMYFUNCTION("""COMPUTED_VALUE"""),20.05)</f>
        <v>20.05</v>
      </c>
      <c r="C28" s="3">
        <f>IFERROR(__xludf.DUMMYFUNCTION("""COMPUTED_VALUE"""),42369.66666666667)</f>
        <v>42369.66667</v>
      </c>
      <c r="D28" s="3">
        <f>IFERROR(__xludf.DUMMYFUNCTION("""COMPUTED_VALUE"""),31.65)</f>
        <v>31.65</v>
      </c>
      <c r="E28" s="3"/>
      <c r="F28" s="3"/>
      <c r="G28" s="13"/>
      <c r="H28" s="3"/>
      <c r="I28" s="3"/>
      <c r="J28" s="3"/>
      <c r="K28" s="13"/>
      <c r="L28" s="3"/>
      <c r="M28" s="3">
        <f>IFERROR(__xludf.DUMMYFUNCTION("""COMPUTED_VALUE"""),44196.66666666667)</f>
        <v>44196.66667</v>
      </c>
      <c r="N28" s="3">
        <f>IFERROR(__xludf.DUMMYFUNCTION("""COMPUTED_VALUE"""),68.47)</f>
        <v>68.47</v>
      </c>
      <c r="O28" s="3">
        <f>IFERROR(__xludf.DUMMYFUNCTION("""COMPUTED_VALUE"""),44561.66666666667)</f>
        <v>44561.66667</v>
      </c>
      <c r="P28" s="3">
        <f>IFERROR(__xludf.DUMMYFUNCTION("""COMPUTED_VALUE"""),123.65)</f>
        <v>123.65</v>
      </c>
      <c r="Q28" s="13"/>
      <c r="R28" s="3"/>
      <c r="S28" s="3"/>
      <c r="T28" s="3"/>
      <c r="U28" s="3"/>
      <c r="V28" s="3"/>
      <c r="W28" s="3"/>
      <c r="X28" s="3"/>
      <c r="Y28" s="3"/>
      <c r="Z28" s="3"/>
      <c r="AA28" s="3"/>
      <c r="AB28" s="3"/>
      <c r="AC28" s="3"/>
      <c r="AD28" s="3"/>
    </row>
    <row r="29" ht="15.75" customHeight="1">
      <c r="A29" s="3"/>
      <c r="B29" s="3"/>
      <c r="C29" s="3"/>
      <c r="D29" s="3"/>
      <c r="E29" s="3"/>
      <c r="F29" s="3"/>
      <c r="G29" s="3"/>
      <c r="H29" s="3"/>
      <c r="I29" s="3"/>
      <c r="J29" s="3"/>
      <c r="K29" s="3"/>
      <c r="L29" s="3"/>
      <c r="M29" s="3"/>
      <c r="N29" s="3"/>
      <c r="O29" s="3"/>
      <c r="P29" s="3"/>
      <c r="Q29" s="3"/>
      <c r="R29" s="3"/>
      <c r="S29" s="3"/>
      <c r="T29" s="3"/>
      <c r="U29" s="3"/>
      <c r="V29" s="3"/>
      <c r="W29" s="3"/>
      <c r="X29" s="3"/>
      <c r="Y29" s="3"/>
      <c r="Z29" s="3"/>
      <c r="AA29" s="3"/>
      <c r="AB29" s="3"/>
      <c r="AC29" s="3"/>
      <c r="AD29" s="3"/>
    </row>
    <row r="30" ht="15.75" customHeight="1">
      <c r="A30" s="3"/>
      <c r="B30" s="3"/>
      <c r="C30" s="3"/>
      <c r="D30" s="3"/>
      <c r="E30" s="3"/>
      <c r="F30" s="3"/>
      <c r="G30" s="3"/>
      <c r="H30" s="3"/>
      <c r="I30" s="3"/>
      <c r="J30" s="3"/>
      <c r="K30" s="3"/>
      <c r="L30" s="3"/>
      <c r="M30" s="3"/>
      <c r="N30" s="3"/>
      <c r="O30" s="3"/>
      <c r="P30" s="3"/>
      <c r="Q30" s="3"/>
      <c r="R30" s="3"/>
      <c r="S30" s="3"/>
      <c r="T30" s="3"/>
      <c r="U30" s="3"/>
      <c r="V30" s="3"/>
      <c r="W30" s="3"/>
      <c r="X30" s="3"/>
      <c r="Y30" s="3"/>
      <c r="Z30" s="3"/>
      <c r="AA30" s="3"/>
      <c r="AB30" s="3"/>
      <c r="AC30" s="3"/>
      <c r="AD30" s="3"/>
    </row>
    <row r="31" ht="15.75" customHeight="1">
      <c r="A31" s="3"/>
      <c r="B31" s="3"/>
      <c r="C31" s="3"/>
      <c r="D31" s="3"/>
      <c r="E31" s="3"/>
      <c r="F31" s="3"/>
      <c r="G31" s="3"/>
      <c r="H31" s="3"/>
      <c r="I31" s="3"/>
      <c r="J31" s="3"/>
      <c r="K31" s="3"/>
      <c r="L31" s="3"/>
      <c r="M31" s="3"/>
      <c r="N31" s="3"/>
      <c r="O31" s="3"/>
      <c r="P31" s="3"/>
      <c r="Q31" s="3"/>
      <c r="R31" s="3"/>
      <c r="S31" s="3"/>
      <c r="T31" s="3"/>
      <c r="U31" s="3"/>
      <c r="V31" s="3"/>
      <c r="W31" s="3"/>
      <c r="X31" s="3"/>
      <c r="Y31" s="3"/>
      <c r="Z31" s="3"/>
      <c r="AA31" s="3"/>
      <c r="AB31" s="3"/>
      <c r="AC31" s="3"/>
      <c r="AD31" s="3"/>
    </row>
    <row r="32" ht="15.75" customHeight="1">
      <c r="A32" s="3"/>
      <c r="B32" s="3"/>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row>
    <row r="33" ht="15.75" customHeight="1">
      <c r="A33" s="3"/>
      <c r="B33" s="3"/>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row>
    <row r="34" ht="15.75" customHeight="1">
      <c r="A34" s="3"/>
      <c r="B34" s="3"/>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row>
    <row r="35" ht="15.75" customHeight="1">
      <c r="A35" s="3"/>
      <c r="B35" s="3"/>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row>
    <row r="36" ht="15.75" customHeight="1">
      <c r="A36" s="3"/>
      <c r="B36" s="3"/>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row>
    <row r="37" ht="15.75" customHeight="1">
      <c r="A37" s="3"/>
      <c r="B37" s="3"/>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row>
    <row r="38" ht="15.75" customHeight="1">
      <c r="A38" s="3"/>
      <c r="B38" s="3"/>
      <c r="C38" s="3"/>
      <c r="D38" s="3"/>
      <c r="E38" s="3"/>
      <c r="F38" s="3"/>
      <c r="G38" s="3"/>
      <c r="H38" s="3"/>
      <c r="I38" s="3"/>
      <c r="J38" s="3"/>
      <c r="K38" s="3"/>
      <c r="L38" s="3"/>
      <c r="M38" s="3"/>
      <c r="N38" s="3"/>
      <c r="O38" s="3"/>
      <c r="P38" s="3"/>
      <c r="Q38" s="3"/>
      <c r="R38" s="3"/>
      <c r="S38" s="3"/>
      <c r="T38" s="3"/>
      <c r="U38" s="3"/>
      <c r="V38" s="3"/>
      <c r="W38" s="3"/>
      <c r="X38" s="3"/>
      <c r="Y38" s="3"/>
      <c r="Z38" s="3"/>
      <c r="AA38" s="3"/>
      <c r="AB38" s="3"/>
      <c r="AC38" s="3"/>
      <c r="AD38" s="3"/>
    </row>
    <row r="39" ht="15.75" customHeight="1">
      <c r="A39" s="3"/>
      <c r="B39" s="3"/>
      <c r="C39" s="3"/>
      <c r="D39" s="3"/>
      <c r="E39" s="3"/>
      <c r="F39" s="3"/>
      <c r="G39" s="3"/>
      <c r="H39" s="3"/>
      <c r="I39" s="3"/>
      <c r="J39" s="3"/>
      <c r="K39" s="3"/>
      <c r="L39" s="3"/>
      <c r="M39" s="3"/>
      <c r="N39" s="3"/>
      <c r="O39" s="3"/>
      <c r="P39" s="3"/>
      <c r="Q39" s="3"/>
      <c r="R39" s="3"/>
      <c r="S39" s="3"/>
      <c r="T39" s="3"/>
      <c r="U39" s="3"/>
      <c r="V39" s="3"/>
      <c r="W39" s="3"/>
      <c r="X39" s="3"/>
      <c r="Y39" s="3"/>
      <c r="Z39" s="3"/>
      <c r="AA39" s="3"/>
      <c r="AB39" s="3"/>
      <c r="AC39" s="3"/>
      <c r="AD39" s="3"/>
    </row>
    <row r="40" ht="15.75" customHeight="1">
      <c r="A40" s="3"/>
      <c r="B40" s="3"/>
      <c r="C40" s="3"/>
      <c r="D40" s="3"/>
      <c r="E40" s="3"/>
      <c r="F40" s="3"/>
      <c r="G40" s="3"/>
      <c r="H40" s="3"/>
      <c r="I40" s="3"/>
      <c r="J40" s="3"/>
      <c r="K40" s="3"/>
      <c r="L40" s="3"/>
      <c r="M40" s="3"/>
      <c r="N40" s="3"/>
      <c r="O40" s="3"/>
      <c r="P40" s="3"/>
      <c r="Q40" s="3"/>
      <c r="R40" s="3"/>
      <c r="S40" s="3"/>
      <c r="T40" s="3"/>
      <c r="U40" s="3"/>
      <c r="V40" s="3"/>
      <c r="W40" s="3"/>
      <c r="X40" s="3"/>
      <c r="Y40" s="3"/>
      <c r="Z40" s="3"/>
      <c r="AA40" s="3"/>
      <c r="AB40" s="3"/>
      <c r="AC40" s="3"/>
      <c r="AD40" s="3"/>
    </row>
    <row r="41" ht="15.75" customHeight="1">
      <c r="A41" s="3"/>
      <c r="B41" s="3"/>
      <c r="C41" s="3"/>
      <c r="D41" s="3"/>
      <c r="E41" s="3"/>
      <c r="F41" s="3"/>
      <c r="G41" s="3"/>
      <c r="H41" s="3"/>
      <c r="I41" s="3"/>
      <c r="J41" s="3"/>
      <c r="K41" s="3"/>
      <c r="L41" s="3"/>
      <c r="M41" s="3"/>
      <c r="N41" s="3"/>
      <c r="O41" s="3"/>
      <c r="P41" s="3"/>
      <c r="Q41" s="3"/>
      <c r="R41" s="3"/>
      <c r="S41" s="3"/>
      <c r="T41" s="3"/>
      <c r="U41" s="3"/>
      <c r="V41" s="3"/>
      <c r="W41" s="3"/>
      <c r="X41" s="3"/>
      <c r="Y41" s="3"/>
      <c r="Z41" s="3"/>
      <c r="AA41" s="3"/>
      <c r="AB41" s="3"/>
      <c r="AC41" s="3"/>
      <c r="AD41" s="3"/>
    </row>
    <row r="42" ht="15.75" customHeight="1">
      <c r="A42" s="3"/>
      <c r="B42" s="3"/>
      <c r="C42" s="3"/>
      <c r="D42" s="3"/>
      <c r="E42" s="3"/>
      <c r="F42" s="3"/>
      <c r="G42" s="3"/>
      <c r="H42" s="3"/>
      <c r="I42" s="3"/>
      <c r="J42" s="3"/>
      <c r="K42" s="3"/>
      <c r="L42" s="3"/>
      <c r="M42" s="3"/>
      <c r="N42" s="3"/>
      <c r="O42" s="3"/>
      <c r="P42" s="3"/>
      <c r="Q42" s="3"/>
      <c r="R42" s="3"/>
      <c r="S42" s="3"/>
      <c r="T42" s="3"/>
      <c r="U42" s="3"/>
      <c r="V42" s="3"/>
      <c r="W42" s="3"/>
      <c r="X42" s="3"/>
      <c r="Y42" s="3"/>
      <c r="Z42" s="3"/>
      <c r="AA42" s="3"/>
      <c r="AB42" s="3"/>
      <c r="AC42" s="3"/>
      <c r="AD42" s="3"/>
    </row>
    <row r="43" ht="15.75" customHeight="1">
      <c r="A43" s="3"/>
      <c r="B43" s="3"/>
      <c r="C43" s="3"/>
      <c r="D43" s="3"/>
      <c r="E43" s="3"/>
      <c r="F43" s="3"/>
      <c r="G43" s="3"/>
      <c r="H43" s="3"/>
      <c r="I43" s="3"/>
      <c r="J43" s="3"/>
      <c r="K43" s="3"/>
      <c r="L43" s="3"/>
      <c r="M43" s="3"/>
      <c r="N43" s="3"/>
      <c r="O43" s="3"/>
      <c r="P43" s="3"/>
      <c r="Q43" s="3"/>
      <c r="R43" s="3"/>
      <c r="S43" s="3"/>
      <c r="T43" s="3"/>
      <c r="U43" s="3"/>
      <c r="V43" s="3"/>
      <c r="W43" s="3"/>
      <c r="X43" s="3"/>
      <c r="Y43" s="3"/>
      <c r="Z43" s="3"/>
      <c r="AA43" s="3"/>
      <c r="AB43" s="3"/>
      <c r="AC43" s="3"/>
      <c r="AD43" s="3"/>
    </row>
    <row r="44" ht="15.75" customHeight="1">
      <c r="A44" s="3"/>
      <c r="B44" s="3"/>
      <c r="C44" s="3"/>
      <c r="D44" s="3"/>
      <c r="E44" s="3"/>
      <c r="F44" s="3"/>
      <c r="G44" s="3"/>
      <c r="H44" s="3"/>
      <c r="I44" s="3"/>
      <c r="J44" s="3"/>
      <c r="K44" s="3"/>
      <c r="L44" s="3"/>
      <c r="M44" s="3"/>
      <c r="N44" s="3"/>
      <c r="O44" s="3"/>
      <c r="P44" s="3"/>
      <c r="Q44" s="3"/>
      <c r="R44" s="3"/>
      <c r="S44" s="3"/>
      <c r="T44" s="3"/>
      <c r="U44" s="3"/>
      <c r="V44" s="3"/>
      <c r="W44" s="3"/>
      <c r="X44" s="3"/>
      <c r="Y44" s="3"/>
      <c r="Z44" s="3"/>
      <c r="AA44" s="3"/>
      <c r="AB44" s="3"/>
      <c r="AC44" s="3"/>
      <c r="AD44" s="3"/>
    </row>
    <row r="45" ht="15.75" customHeight="1">
      <c r="A45" s="3"/>
      <c r="B45" s="3"/>
      <c r="C45" s="3"/>
      <c r="D45" s="3"/>
      <c r="E45" s="3"/>
      <c r="F45" s="3"/>
      <c r="G45" s="3"/>
      <c r="H45" s="3"/>
      <c r="I45" s="3"/>
      <c r="J45" s="3"/>
      <c r="K45" s="3"/>
      <c r="L45" s="3"/>
      <c r="M45" s="3"/>
      <c r="N45" s="3"/>
      <c r="O45" s="3"/>
      <c r="P45" s="3"/>
      <c r="Q45" s="3"/>
      <c r="R45" s="3"/>
      <c r="S45" s="3"/>
      <c r="T45" s="3"/>
      <c r="U45" s="3"/>
      <c r="V45" s="3"/>
      <c r="W45" s="3"/>
      <c r="X45" s="3"/>
      <c r="Y45" s="3"/>
      <c r="Z45" s="3"/>
      <c r="AA45" s="3"/>
      <c r="AB45" s="3"/>
      <c r="AC45" s="3"/>
      <c r="AD45" s="3"/>
    </row>
    <row r="46" ht="15.75" customHeight="1">
      <c r="A46" s="3"/>
      <c r="B46" s="3"/>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row>
    <row r="47" ht="15.75" customHeight="1">
      <c r="A47" s="3"/>
      <c r="B47" s="3"/>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row>
    <row r="48" ht="15.75" customHeight="1">
      <c r="A48" s="3"/>
      <c r="B48" s="3"/>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3"/>
    </row>
    <row r="49" ht="15.75" customHeight="1">
      <c r="A49" s="3"/>
      <c r="B49" s="3"/>
      <c r="C49" s="3"/>
      <c r="D49" s="3"/>
      <c r="E49" s="3"/>
      <c r="F49" s="3"/>
      <c r="G49" s="3"/>
      <c r="H49" s="3"/>
      <c r="I49" s="3"/>
      <c r="J49" s="3"/>
      <c r="K49" s="3"/>
      <c r="L49" s="3"/>
      <c r="M49" s="3"/>
      <c r="N49" s="3"/>
      <c r="O49" s="3"/>
      <c r="P49" s="3"/>
      <c r="Q49" s="3"/>
      <c r="R49" s="3"/>
      <c r="S49" s="3"/>
      <c r="T49" s="3"/>
      <c r="U49" s="3"/>
      <c r="V49" s="3"/>
      <c r="W49" s="3"/>
      <c r="X49" s="3"/>
      <c r="Y49" s="3"/>
      <c r="Z49" s="3"/>
      <c r="AA49" s="3"/>
      <c r="AB49" s="3"/>
      <c r="AC49" s="3"/>
      <c r="AD49" s="3"/>
    </row>
    <row r="50" ht="15.75" customHeight="1">
      <c r="A50" s="3"/>
      <c r="B50" s="3"/>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row>
    <row r="51" ht="15.75" customHeight="1">
      <c r="A51" s="3"/>
      <c r="B51" s="3"/>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row>
    <row r="52" ht="15.75" customHeight="1">
      <c r="A52" s="3"/>
      <c r="B52" s="3"/>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row>
    <row r="53" ht="15.75" customHeight="1">
      <c r="A53" s="3"/>
      <c r="B53" s="3"/>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row>
    <row r="54" ht="15.75" customHeight="1">
      <c r="A54" s="3"/>
      <c r="B54" s="3"/>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row>
    <row r="55" ht="15.75" customHeight="1">
      <c r="A55" s="3"/>
      <c r="B55" s="3"/>
      <c r="C55" s="3"/>
      <c r="D55" s="3"/>
      <c r="E55" s="3"/>
      <c r="F55" s="3"/>
      <c r="G55" s="3"/>
      <c r="H55" s="3"/>
      <c r="I55" s="3"/>
      <c r="J55" s="3"/>
      <c r="K55" s="3"/>
      <c r="L55" s="3"/>
      <c r="M55" s="3"/>
      <c r="N55" s="3"/>
      <c r="O55" s="3"/>
      <c r="P55" s="3"/>
      <c r="Q55" s="3"/>
      <c r="R55" s="3"/>
      <c r="S55" s="3"/>
      <c r="T55" s="3"/>
      <c r="U55" s="3"/>
      <c r="V55" s="3"/>
      <c r="W55" s="3"/>
      <c r="X55" s="3"/>
      <c r="Y55" s="3"/>
      <c r="Z55" s="3"/>
      <c r="AA55" s="3"/>
      <c r="AB55" s="3"/>
      <c r="AC55" s="3"/>
      <c r="AD55" s="3"/>
    </row>
    <row r="56" ht="15.75" customHeight="1">
      <c r="A56" s="3"/>
      <c r="B56" s="3"/>
      <c r="C56" s="3"/>
      <c r="D56" s="3"/>
      <c r="E56" s="3"/>
      <c r="F56" s="3"/>
      <c r="G56" s="3"/>
      <c r="H56" s="3"/>
      <c r="I56" s="3"/>
      <c r="J56" s="3"/>
      <c r="K56" s="3"/>
      <c r="L56" s="3"/>
      <c r="M56" s="3"/>
      <c r="N56" s="3"/>
      <c r="O56" s="3"/>
      <c r="P56" s="3"/>
      <c r="Q56" s="3"/>
      <c r="R56" s="3"/>
      <c r="S56" s="3"/>
      <c r="T56" s="3"/>
      <c r="U56" s="3"/>
      <c r="V56" s="3"/>
      <c r="W56" s="3"/>
      <c r="X56" s="3"/>
      <c r="Y56" s="3"/>
      <c r="Z56" s="3"/>
      <c r="AA56" s="3"/>
      <c r="AB56" s="3"/>
      <c r="AC56" s="3"/>
      <c r="AD56" s="3"/>
    </row>
    <row r="57" ht="15.75" customHeight="1">
      <c r="A57" s="3"/>
      <c r="B57" s="3"/>
      <c r="C57" s="3"/>
      <c r="D57" s="3"/>
      <c r="E57" s="3"/>
      <c r="F57" s="3"/>
      <c r="G57" s="3"/>
      <c r="H57" s="3"/>
      <c r="I57" s="3"/>
      <c r="J57" s="3"/>
      <c r="K57" s="3"/>
      <c r="L57" s="3"/>
      <c r="M57" s="3"/>
      <c r="N57" s="3"/>
      <c r="O57" s="3"/>
      <c r="P57" s="3"/>
      <c r="Q57" s="3"/>
      <c r="R57" s="3"/>
      <c r="S57" s="3"/>
      <c r="T57" s="3"/>
      <c r="U57" s="3"/>
      <c r="V57" s="3"/>
      <c r="W57" s="3"/>
      <c r="X57" s="3"/>
      <c r="Y57" s="3"/>
      <c r="Z57" s="3"/>
      <c r="AA57" s="3"/>
      <c r="AB57" s="3"/>
      <c r="AC57" s="3"/>
      <c r="AD57" s="3"/>
    </row>
    <row r="58" ht="15.75" customHeight="1">
      <c r="A58" s="3"/>
      <c r="B58" s="3"/>
      <c r="C58" s="3"/>
      <c r="D58" s="3"/>
      <c r="E58" s="3"/>
      <c r="F58" s="3"/>
      <c r="G58" s="3"/>
      <c r="H58" s="3"/>
      <c r="I58" s="3"/>
      <c r="J58" s="3"/>
      <c r="K58" s="3"/>
      <c r="L58" s="3"/>
      <c r="M58" s="3"/>
      <c r="N58" s="3"/>
      <c r="O58" s="3"/>
      <c r="P58" s="3"/>
      <c r="Q58" s="3"/>
      <c r="R58" s="3"/>
      <c r="S58" s="3"/>
      <c r="T58" s="3"/>
      <c r="U58" s="3"/>
      <c r="V58" s="3"/>
      <c r="W58" s="3"/>
      <c r="X58" s="3"/>
      <c r="Y58" s="3"/>
      <c r="Z58" s="3"/>
      <c r="AA58" s="3"/>
      <c r="AB58" s="3"/>
      <c r="AC58" s="3"/>
      <c r="AD58" s="3"/>
    </row>
    <row r="59" ht="15.75" customHeight="1">
      <c r="A59" s="3"/>
      <c r="B59" s="3"/>
      <c r="C59" s="3"/>
      <c r="D59" s="3"/>
      <c r="E59" s="3"/>
      <c r="F59" s="3"/>
      <c r="G59" s="3"/>
      <c r="H59" s="3"/>
      <c r="I59" s="3"/>
      <c r="J59" s="3"/>
      <c r="K59" s="3"/>
      <c r="L59" s="3"/>
      <c r="M59" s="3"/>
      <c r="N59" s="3"/>
      <c r="O59" s="3"/>
      <c r="P59" s="3"/>
      <c r="Q59" s="3"/>
      <c r="R59" s="3"/>
      <c r="S59" s="3"/>
      <c r="T59" s="3"/>
      <c r="U59" s="3"/>
      <c r="V59" s="3"/>
      <c r="W59" s="3"/>
      <c r="X59" s="3"/>
      <c r="Y59" s="3"/>
      <c r="Z59" s="3"/>
      <c r="AA59" s="3"/>
      <c r="AB59" s="3"/>
      <c r="AC59" s="3"/>
      <c r="AD59" s="3"/>
    </row>
    <row r="60" ht="15.75" customHeight="1">
      <c r="A60" s="3"/>
      <c r="B60" s="3"/>
      <c r="C60" s="3"/>
      <c r="D60" s="3"/>
      <c r="E60" s="3"/>
      <c r="F60" s="3"/>
      <c r="G60" s="3"/>
      <c r="H60" s="3"/>
      <c r="I60" s="3"/>
      <c r="J60" s="3"/>
      <c r="K60" s="3"/>
      <c r="L60" s="3"/>
      <c r="M60" s="3"/>
      <c r="N60" s="3"/>
      <c r="O60" s="3"/>
      <c r="P60" s="3"/>
      <c r="Q60" s="3"/>
      <c r="R60" s="3"/>
      <c r="S60" s="3"/>
      <c r="T60" s="3"/>
      <c r="U60" s="3"/>
      <c r="V60" s="3"/>
      <c r="W60" s="3"/>
      <c r="X60" s="3"/>
      <c r="Y60" s="3"/>
      <c r="Z60" s="3"/>
      <c r="AA60" s="3"/>
      <c r="AB60" s="3"/>
      <c r="AC60" s="3"/>
      <c r="AD60" s="3"/>
    </row>
    <row r="61" ht="15.75" customHeight="1">
      <c r="A61" s="3"/>
      <c r="B61" s="3"/>
      <c r="C61" s="3"/>
      <c r="D61" s="3"/>
      <c r="E61" s="3"/>
      <c r="F61" s="3"/>
      <c r="G61" s="3"/>
      <c r="H61" s="3"/>
      <c r="I61" s="3"/>
      <c r="J61" s="3"/>
      <c r="K61" s="3"/>
      <c r="L61" s="3"/>
      <c r="M61" s="3"/>
      <c r="N61" s="3"/>
      <c r="O61" s="3"/>
      <c r="P61" s="3"/>
      <c r="Q61" s="3"/>
      <c r="R61" s="3"/>
      <c r="S61" s="3"/>
      <c r="T61" s="3"/>
      <c r="U61" s="3"/>
      <c r="V61" s="3"/>
      <c r="W61" s="3"/>
      <c r="X61" s="3"/>
      <c r="Y61" s="3"/>
      <c r="Z61" s="3"/>
      <c r="AA61" s="3"/>
      <c r="AB61" s="3"/>
      <c r="AC61" s="3"/>
      <c r="AD61" s="3"/>
    </row>
    <row r="62" ht="15.75" customHeight="1">
      <c r="A62" s="3"/>
      <c r="B62" s="3"/>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row>
    <row r="63" ht="15.75" customHeight="1">
      <c r="A63" s="3"/>
      <c r="B63" s="3"/>
      <c r="C63" s="3"/>
      <c r="D63" s="3"/>
      <c r="E63" s="3"/>
      <c r="F63" s="3"/>
      <c r="G63" s="3"/>
      <c r="H63" s="3"/>
      <c r="I63" s="3"/>
      <c r="J63" s="3"/>
      <c r="K63" s="3"/>
      <c r="L63" s="3"/>
      <c r="M63" s="3"/>
      <c r="N63" s="3"/>
      <c r="O63" s="3"/>
      <c r="P63" s="3"/>
      <c r="Q63" s="3"/>
      <c r="R63" s="3"/>
      <c r="S63" s="3"/>
      <c r="T63" s="3"/>
      <c r="U63" s="3"/>
      <c r="V63" s="3"/>
      <c r="W63" s="3"/>
      <c r="X63" s="3"/>
      <c r="Y63" s="3"/>
      <c r="Z63" s="3"/>
      <c r="AA63" s="3"/>
      <c r="AB63" s="3"/>
      <c r="AC63" s="3"/>
      <c r="AD63" s="3"/>
    </row>
    <row r="64" ht="15.75" customHeight="1">
      <c r="A64" s="3"/>
      <c r="B64" s="3"/>
      <c r="C64" s="3"/>
      <c r="D64" s="3"/>
      <c r="E64" s="3"/>
      <c r="F64" s="3"/>
      <c r="G64" s="3"/>
      <c r="H64" s="3"/>
      <c r="I64" s="3"/>
      <c r="J64" s="3"/>
      <c r="K64" s="3"/>
      <c r="L64" s="3"/>
      <c r="M64" s="3"/>
      <c r="N64" s="3"/>
      <c r="O64" s="3"/>
      <c r="P64" s="3"/>
      <c r="Q64" s="3"/>
      <c r="R64" s="3"/>
      <c r="S64" s="3"/>
      <c r="T64" s="3"/>
      <c r="U64" s="3"/>
      <c r="V64" s="3"/>
      <c r="W64" s="3"/>
      <c r="X64" s="3"/>
      <c r="Y64" s="3"/>
      <c r="Z64" s="3"/>
      <c r="AA64" s="3"/>
      <c r="AB64" s="3"/>
      <c r="AC64" s="3"/>
      <c r="AD64" s="3"/>
    </row>
    <row r="65" ht="15.75" customHeight="1">
      <c r="A65" s="3"/>
      <c r="B65" s="3"/>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ht="15.75" customHeight="1">
      <c r="A66" s="3"/>
      <c r="B66" s="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ht="15.75" customHeight="1">
      <c r="A67" s="3"/>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ht="15.75" customHeight="1">
      <c r="A68" s="3"/>
      <c r="B68" s="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ht="15.75" customHeight="1">
      <c r="A69" s="3"/>
      <c r="B69" s="3"/>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ht="15.75" customHeight="1">
      <c r="A70" s="3"/>
      <c r="B70" s="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ht="15.75" customHeight="1">
      <c r="A71" s="3"/>
      <c r="B71" s="3"/>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ht="15.75" customHeight="1">
      <c r="A72" s="3"/>
      <c r="B72" s="3"/>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ht="15.75" customHeight="1">
      <c r="A73" s="3"/>
      <c r="B73" s="3"/>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ht="15.75" customHeight="1">
      <c r="A74" s="3"/>
      <c r="B74" s="3"/>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ht="15.75" customHeight="1">
      <c r="A75" s="3"/>
      <c r="B75" s="3"/>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ht="15.75" customHeight="1">
      <c r="A76" s="3"/>
      <c r="B76" s="3"/>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ht="15.75" customHeight="1">
      <c r="A77" s="3"/>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78" ht="15.75" customHeight="1">
      <c r="A78" s="3"/>
      <c r="B78" s="3"/>
      <c r="C78" s="3"/>
      <c r="D78" s="3"/>
      <c r="E78" s="3"/>
      <c r="F78" s="3"/>
      <c r="G78" s="3"/>
      <c r="H78" s="3"/>
      <c r="I78" s="3"/>
      <c r="J78" s="3"/>
      <c r="K78" s="3"/>
      <c r="L78" s="3"/>
      <c r="M78" s="3"/>
      <c r="N78" s="3"/>
      <c r="O78" s="3"/>
      <c r="P78" s="3"/>
      <c r="Q78" s="3"/>
      <c r="R78" s="3"/>
      <c r="S78" s="3"/>
      <c r="T78" s="3"/>
      <c r="U78" s="3"/>
      <c r="V78" s="3"/>
      <c r="W78" s="3"/>
      <c r="X78" s="3"/>
      <c r="Y78" s="3"/>
      <c r="Z78" s="3"/>
      <c r="AA78" s="3"/>
      <c r="AB78" s="3"/>
      <c r="AC78" s="3"/>
      <c r="AD78" s="3"/>
    </row>
    <row r="79" ht="15.75" customHeight="1">
      <c r="A79" s="3"/>
      <c r="B79" s="3"/>
      <c r="C79" s="3"/>
      <c r="D79" s="3"/>
      <c r="E79" s="3"/>
      <c r="F79" s="3"/>
      <c r="G79" s="3"/>
      <c r="H79" s="3"/>
      <c r="I79" s="3"/>
      <c r="J79" s="3"/>
      <c r="K79" s="3"/>
      <c r="L79" s="3"/>
      <c r="M79" s="3"/>
      <c r="N79" s="3"/>
      <c r="O79" s="3"/>
      <c r="P79" s="3"/>
      <c r="Q79" s="3"/>
      <c r="R79" s="3"/>
      <c r="S79" s="3"/>
      <c r="T79" s="3"/>
      <c r="U79" s="3"/>
      <c r="V79" s="3"/>
      <c r="W79" s="3"/>
      <c r="X79" s="3"/>
      <c r="Y79" s="3"/>
      <c r="Z79" s="3"/>
      <c r="AA79" s="3"/>
      <c r="AB79" s="3"/>
      <c r="AC79" s="3"/>
      <c r="AD79" s="3"/>
    </row>
    <row r="80" ht="15.75" customHeight="1">
      <c r="A80" s="3"/>
      <c r="B80" s="3"/>
      <c r="C80" s="3"/>
      <c r="D80" s="3"/>
      <c r="E80" s="3"/>
      <c r="F80" s="3"/>
      <c r="G80" s="3"/>
      <c r="H80" s="3"/>
      <c r="I80" s="3"/>
      <c r="J80" s="3"/>
      <c r="K80" s="3"/>
      <c r="L80" s="3"/>
      <c r="M80" s="3"/>
      <c r="N80" s="3"/>
      <c r="O80" s="3"/>
      <c r="P80" s="3"/>
      <c r="Q80" s="3"/>
      <c r="R80" s="3"/>
      <c r="S80" s="3"/>
      <c r="T80" s="3"/>
      <c r="U80" s="3"/>
      <c r="V80" s="3"/>
      <c r="W80" s="3"/>
      <c r="X80" s="3"/>
      <c r="Y80" s="3"/>
      <c r="Z80" s="3"/>
      <c r="AA80" s="3"/>
      <c r="AB80" s="3"/>
      <c r="AC80" s="3"/>
      <c r="AD80" s="3"/>
    </row>
    <row r="81" ht="15.75" customHeight="1">
      <c r="A81" s="3"/>
      <c r="B81" s="3"/>
      <c r="C81" s="3"/>
      <c r="D81" s="3"/>
      <c r="E81" s="3"/>
      <c r="F81" s="3"/>
      <c r="G81" s="3"/>
      <c r="H81" s="3"/>
      <c r="I81" s="3"/>
      <c r="J81" s="3"/>
      <c r="K81" s="3"/>
      <c r="L81" s="3"/>
      <c r="M81" s="3"/>
      <c r="N81" s="3"/>
      <c r="O81" s="3"/>
      <c r="P81" s="3"/>
      <c r="Q81" s="3"/>
      <c r="R81" s="3"/>
      <c r="S81" s="3"/>
      <c r="T81" s="3"/>
      <c r="U81" s="3"/>
      <c r="V81" s="3"/>
      <c r="W81" s="3"/>
      <c r="X81" s="3"/>
      <c r="Y81" s="3"/>
      <c r="Z81" s="3"/>
      <c r="AA81" s="3"/>
      <c r="AB81" s="3"/>
      <c r="AC81" s="3"/>
      <c r="AD81" s="3"/>
    </row>
    <row r="82" ht="15.75" customHeight="1">
      <c r="A82" s="3"/>
      <c r="B82" s="3"/>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row>
    <row r="83" ht="15.75" customHeight="1">
      <c r="A83" s="3"/>
      <c r="B83" s="3"/>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row>
    <row r="84" ht="15.75" customHeight="1">
      <c r="A84" s="3"/>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row>
    <row r="85" ht="15.75" customHeight="1">
      <c r="A85" s="3"/>
      <c r="B85" s="3"/>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row>
    <row r="86" ht="15.75" customHeight="1">
      <c r="A86" s="3"/>
      <c r="B86" s="3"/>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row>
    <row r="87" ht="15.75" customHeight="1">
      <c r="A87" s="3"/>
      <c r="B87" s="3"/>
      <c r="C87" s="3"/>
      <c r="D87" s="3"/>
      <c r="E87" s="3"/>
      <c r="F87" s="3"/>
      <c r="G87" s="3"/>
      <c r="H87" s="3"/>
      <c r="I87" s="3"/>
      <c r="J87" s="3"/>
      <c r="K87" s="3"/>
      <c r="L87" s="3"/>
      <c r="M87" s="3"/>
      <c r="N87" s="3"/>
      <c r="O87" s="3"/>
      <c r="P87" s="3"/>
      <c r="Q87" s="3"/>
      <c r="R87" s="3"/>
      <c r="S87" s="3"/>
      <c r="T87" s="3"/>
      <c r="U87" s="3"/>
      <c r="V87" s="3"/>
      <c r="W87" s="3"/>
      <c r="X87" s="3"/>
      <c r="Y87" s="3"/>
      <c r="Z87" s="3"/>
      <c r="AA87" s="3"/>
      <c r="AB87" s="3"/>
      <c r="AC87" s="3"/>
      <c r="AD87" s="3"/>
    </row>
    <row r="88" ht="15.75" customHeight="1">
      <c r="A88" s="3"/>
      <c r="B88" s="3"/>
      <c r="C88" s="3"/>
      <c r="D88" s="3"/>
      <c r="E88" s="3"/>
      <c r="F88" s="3"/>
      <c r="G88" s="3"/>
      <c r="H88" s="3"/>
      <c r="I88" s="3"/>
      <c r="J88" s="3"/>
      <c r="K88" s="3"/>
      <c r="L88" s="3"/>
      <c r="M88" s="3"/>
      <c r="N88" s="3"/>
      <c r="O88" s="3"/>
      <c r="P88" s="3"/>
      <c r="Q88" s="3"/>
      <c r="R88" s="3"/>
      <c r="S88" s="3"/>
      <c r="T88" s="3"/>
      <c r="U88" s="3"/>
      <c r="V88" s="3"/>
      <c r="W88" s="3"/>
      <c r="X88" s="3"/>
      <c r="Y88" s="3"/>
      <c r="Z88" s="3"/>
      <c r="AA88" s="3"/>
      <c r="AB88" s="3"/>
      <c r="AC88" s="3"/>
      <c r="AD88" s="3"/>
    </row>
    <row r="89" ht="15.75" customHeight="1">
      <c r="A89" s="3"/>
      <c r="B89" s="3"/>
      <c r="C89" s="3"/>
      <c r="D89" s="3"/>
      <c r="E89" s="3"/>
      <c r="F89" s="3"/>
      <c r="G89" s="3"/>
      <c r="H89" s="3"/>
      <c r="I89" s="3"/>
      <c r="J89" s="3"/>
      <c r="K89" s="3"/>
      <c r="L89" s="3"/>
      <c r="M89" s="3"/>
      <c r="N89" s="3"/>
      <c r="O89" s="3"/>
      <c r="P89" s="3"/>
      <c r="Q89" s="3"/>
      <c r="R89" s="3"/>
      <c r="S89" s="3"/>
      <c r="T89" s="3"/>
      <c r="U89" s="3"/>
      <c r="V89" s="3"/>
      <c r="W89" s="3"/>
      <c r="X89" s="3"/>
      <c r="Y89" s="3"/>
      <c r="Z89" s="3"/>
      <c r="AA89" s="3"/>
      <c r="AB89" s="3"/>
      <c r="AC89" s="3"/>
      <c r="AD89" s="3"/>
    </row>
    <row r="90" ht="15.75" customHeight="1">
      <c r="A90" s="3"/>
      <c r="B90" s="3"/>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row>
    <row r="91" ht="15.75" customHeight="1">
      <c r="A91" s="3"/>
      <c r="B91" s="3"/>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row>
    <row r="92" ht="15.75" customHeight="1">
      <c r="A92" s="3"/>
      <c r="B92" s="3"/>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row>
    <row r="93" ht="15.75" customHeight="1">
      <c r="A93" s="3"/>
      <c r="B93" s="3"/>
      <c r="C93" s="3"/>
      <c r="D93" s="3"/>
      <c r="E93" s="3"/>
      <c r="F93" s="3"/>
      <c r="G93" s="3"/>
      <c r="H93" s="3"/>
      <c r="I93" s="3"/>
      <c r="J93" s="3"/>
      <c r="K93" s="3"/>
      <c r="L93" s="3"/>
      <c r="M93" s="3"/>
      <c r="N93" s="3"/>
      <c r="O93" s="3"/>
      <c r="P93" s="3"/>
      <c r="Q93" s="3"/>
      <c r="R93" s="3"/>
      <c r="S93" s="3"/>
      <c r="T93" s="3"/>
      <c r="U93" s="3"/>
      <c r="V93" s="3"/>
      <c r="W93" s="3"/>
      <c r="X93" s="3"/>
      <c r="Y93" s="3"/>
      <c r="Z93" s="3"/>
      <c r="AA93" s="3"/>
      <c r="AB93" s="3"/>
      <c r="AC93" s="3"/>
      <c r="AD93" s="3"/>
    </row>
    <row r="94" ht="15.75" customHeight="1">
      <c r="A94" s="3"/>
      <c r="B94" s="3"/>
      <c r="C94" s="3"/>
      <c r="D94" s="3"/>
      <c r="E94" s="3"/>
      <c r="F94" s="3"/>
      <c r="G94" s="3"/>
      <c r="H94" s="3"/>
      <c r="I94" s="3"/>
      <c r="J94" s="3"/>
      <c r="K94" s="3"/>
      <c r="L94" s="3"/>
      <c r="M94" s="3"/>
      <c r="N94" s="3"/>
      <c r="O94" s="3"/>
      <c r="P94" s="3"/>
      <c r="Q94" s="3"/>
      <c r="R94" s="3"/>
      <c r="S94" s="3"/>
      <c r="T94" s="3"/>
      <c r="U94" s="3"/>
      <c r="V94" s="3"/>
      <c r="W94" s="3"/>
      <c r="X94" s="3"/>
      <c r="Y94" s="3"/>
      <c r="Z94" s="3"/>
      <c r="AA94" s="3"/>
      <c r="AB94" s="3"/>
      <c r="AC94" s="3"/>
      <c r="AD94" s="3"/>
    </row>
    <row r="95" ht="15.75" customHeight="1">
      <c r="A95" s="3"/>
      <c r="B95" s="3"/>
      <c r="C95" s="3"/>
      <c r="D95" s="3"/>
      <c r="E95" s="3"/>
      <c r="F95" s="3"/>
      <c r="G95" s="3"/>
      <c r="H95" s="3"/>
      <c r="I95" s="3"/>
      <c r="J95" s="3"/>
      <c r="K95" s="3"/>
      <c r="L95" s="3"/>
      <c r="M95" s="3"/>
      <c r="N95" s="3"/>
      <c r="O95" s="3"/>
      <c r="P95" s="3"/>
      <c r="Q95" s="3"/>
      <c r="R95" s="3"/>
      <c r="S95" s="3"/>
      <c r="T95" s="3"/>
      <c r="U95" s="3"/>
      <c r="V95" s="3"/>
      <c r="W95" s="3"/>
      <c r="X95" s="3"/>
      <c r="Y95" s="3"/>
      <c r="Z95" s="3"/>
      <c r="AA95" s="3"/>
      <c r="AB95" s="3"/>
      <c r="AC95" s="3"/>
      <c r="AD95" s="3"/>
    </row>
    <row r="96" ht="15.75" customHeight="1">
      <c r="A96" s="3"/>
      <c r="B96" s="3"/>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row>
    <row r="97" ht="15.75" customHeight="1">
      <c r="A97" s="3"/>
      <c r="B97" s="3"/>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row>
    <row r="98" ht="15.75" customHeight="1">
      <c r="A98" s="3"/>
      <c r="B98" s="3"/>
      <c r="C98" s="3"/>
      <c r="D98" s="3"/>
      <c r="E98" s="3"/>
      <c r="F98" s="3"/>
      <c r="G98" s="3"/>
      <c r="H98" s="3"/>
      <c r="I98" s="3"/>
      <c r="J98" s="3"/>
      <c r="K98" s="3"/>
      <c r="L98" s="3"/>
      <c r="M98" s="3"/>
      <c r="N98" s="3"/>
      <c r="O98" s="3"/>
      <c r="P98" s="3"/>
      <c r="Q98" s="3"/>
      <c r="R98" s="3"/>
      <c r="S98" s="3"/>
      <c r="T98" s="3"/>
      <c r="U98" s="3"/>
      <c r="V98" s="3"/>
      <c r="W98" s="3"/>
      <c r="X98" s="3"/>
      <c r="Y98" s="3"/>
      <c r="Z98" s="3"/>
      <c r="AA98" s="3"/>
      <c r="AB98" s="3"/>
      <c r="AC98" s="3"/>
      <c r="AD98" s="3"/>
    </row>
    <row r="99" ht="15.75" customHeight="1">
      <c r="A99" s="3"/>
      <c r="B99" s="3"/>
      <c r="C99" s="3"/>
      <c r="D99" s="3"/>
      <c r="E99" s="3"/>
      <c r="F99" s="3"/>
      <c r="G99" s="3"/>
      <c r="H99" s="3"/>
      <c r="I99" s="3"/>
      <c r="J99" s="3"/>
      <c r="K99" s="3"/>
      <c r="L99" s="3"/>
      <c r="M99" s="3"/>
      <c r="N99" s="3"/>
      <c r="O99" s="3"/>
      <c r="P99" s="3"/>
      <c r="Q99" s="3"/>
      <c r="R99" s="3"/>
      <c r="S99" s="3"/>
      <c r="T99" s="3"/>
      <c r="U99" s="3"/>
      <c r="V99" s="3"/>
      <c r="W99" s="3"/>
      <c r="X99" s="3"/>
      <c r="Y99" s="3"/>
      <c r="Z99" s="3"/>
      <c r="AA99" s="3"/>
      <c r="AB99" s="3"/>
      <c r="AC99" s="3"/>
      <c r="AD99" s="3"/>
    </row>
    <row r="100" ht="15.75" customHeight="1">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row>
    <row r="101" ht="15.75" customHeight="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row>
    <row r="102" ht="15.75" customHeight="1">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row>
    <row r="103" ht="15.75" customHeight="1">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row>
    <row r="104" ht="15.75" customHeight="1">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row>
    <row r="105" ht="15.75" customHeight="1">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row>
    <row r="106" ht="15.75" customHeight="1">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row>
    <row r="107" ht="15.75" customHeight="1">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row>
    <row r="108" ht="15.75" customHeight="1">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row>
    <row r="109" ht="15.75" customHeight="1">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row>
    <row r="110" ht="15.75" customHeight="1">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row>
    <row r="111" ht="15.75" customHeight="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row>
    <row r="112" ht="15.75" customHeight="1">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row>
    <row r="113" ht="15.75" customHeight="1">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row>
    <row r="114" ht="15.75" customHeight="1">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row>
    <row r="115" ht="15.75" customHeight="1">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row>
    <row r="116" ht="15.75" customHeight="1">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row>
    <row r="117" ht="15.75" customHeight="1">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row>
    <row r="118" ht="15.75" customHeight="1">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row>
    <row r="119" ht="15.75" customHeight="1">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row>
    <row r="120" ht="15.75" customHeight="1">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row>
    <row r="121" ht="15.75" customHeight="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row>
    <row r="122" ht="15.75" customHeight="1">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row>
    <row r="123" ht="15.75" customHeight="1">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row>
    <row r="124" ht="15.75" customHeight="1">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row>
    <row r="125" ht="15.75" customHeight="1">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row>
    <row r="126" ht="15.75" customHeight="1">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row>
    <row r="127" ht="15.75" customHeight="1">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row>
    <row r="128" ht="15.75" customHeight="1">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row>
    <row r="129" ht="15.75" customHeight="1">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row>
    <row r="130" ht="15.75" customHeight="1">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row>
    <row r="131" ht="15.75" customHeight="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row>
    <row r="132" ht="15.75" customHeight="1">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row>
    <row r="133" ht="15.75" customHeight="1">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row>
    <row r="134" ht="15.75" customHeight="1">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row>
    <row r="135" ht="15.75" customHeight="1">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row>
    <row r="136" ht="15.75" customHeight="1">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row>
    <row r="137" ht="15.75" customHeight="1">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row>
    <row r="138" ht="15.75" customHeight="1">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row>
    <row r="139" ht="15.75" customHeight="1">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row>
    <row r="140" ht="15.75" customHeight="1">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row>
    <row r="141" ht="15.75" customHeight="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row>
    <row r="142" ht="15.75" customHeight="1">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row>
    <row r="143" ht="15.75" customHeight="1">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row>
    <row r="144" ht="15.75" customHeight="1">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row>
    <row r="145" ht="15.75" customHeight="1">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row>
    <row r="146" ht="15.75" customHeight="1">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row>
    <row r="147" ht="15.75" customHeight="1">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row>
    <row r="148" ht="15.75" customHeight="1">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row>
    <row r="149" ht="15.75" customHeight="1">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row>
    <row r="150" ht="15.75" customHeight="1">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row>
    <row r="151" ht="15.75" customHeight="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row>
    <row r="152" ht="15.75" customHeight="1">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row>
    <row r="153" ht="15.75" customHeight="1">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row>
    <row r="154" ht="15.75" customHeight="1">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row>
    <row r="155" ht="15.75" customHeight="1">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row>
    <row r="156" ht="15.75" customHeight="1">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row>
    <row r="157" ht="15.75" customHeight="1">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row>
    <row r="158" ht="15.75" customHeight="1">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row>
    <row r="159" ht="15.75" customHeight="1">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row>
    <row r="160" ht="15.75" customHeight="1">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row>
    <row r="161" ht="15.75" customHeight="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row>
    <row r="162" ht="15.75" customHeight="1">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row>
    <row r="163" ht="15.75"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row>
    <row r="164" ht="15.75" customHeight="1">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row>
    <row r="165" ht="15.75" customHeight="1">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row>
    <row r="166" ht="15.75"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row>
    <row r="167" ht="15.75" customHeight="1">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row>
    <row r="168" ht="15.75" customHeight="1">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row>
    <row r="169" ht="15.75"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row>
    <row r="170" ht="15.75" customHeight="1">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row>
    <row r="171" ht="15.75" customHeight="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row>
    <row r="172" ht="15.75" customHeight="1">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row>
    <row r="173" ht="15.75"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row>
    <row r="174" ht="15.75"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row>
    <row r="175" ht="15.75"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row>
    <row r="176" ht="15.75"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row>
    <row r="177" ht="15.75" customHeight="1">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row>
    <row r="178" ht="15.75"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c r="AD178" s="3"/>
    </row>
    <row r="179" ht="15.75" customHeight="1">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c r="AD179" s="3"/>
    </row>
    <row r="180" ht="15.75" customHeight="1">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c r="AD180" s="3"/>
    </row>
    <row r="181" ht="15.75"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c r="AD181" s="3"/>
    </row>
    <row r="182" ht="15.75"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c r="AD182" s="3"/>
    </row>
    <row r="183" ht="15.75"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row>
    <row r="184" ht="15.75"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row>
    <row r="185" ht="15.75"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row>
    <row r="186" ht="15.75"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c r="AD186" s="3"/>
    </row>
    <row r="187" ht="15.75"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row>
    <row r="188" ht="15.75" customHeight="1">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c r="AD188" s="3"/>
    </row>
    <row r="189" ht="15.75"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c r="AD189" s="3"/>
    </row>
    <row r="190" ht="15.75" customHeight="1">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row>
    <row r="191" ht="15.75" customHeight="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row>
    <row r="192" ht="15.75"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c r="AC192" s="3"/>
      <c r="AD192" s="3"/>
    </row>
    <row r="193" ht="15.75" customHeight="1">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c r="AC193" s="3"/>
      <c r="AD193" s="3"/>
    </row>
    <row r="194" ht="15.75"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c r="AC194" s="3"/>
      <c r="AD194" s="3"/>
    </row>
    <row r="195" ht="15.75"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c r="AC195" s="3"/>
      <c r="AD195" s="3"/>
    </row>
    <row r="196" ht="15.75"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c r="AC196" s="3"/>
      <c r="AD196" s="3"/>
    </row>
    <row r="197" ht="15.75" customHeight="1">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c r="AC197" s="3"/>
      <c r="AD197" s="3"/>
    </row>
    <row r="198" ht="15.75"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c r="AC198" s="3"/>
      <c r="AD198" s="3"/>
    </row>
    <row r="199" ht="15.75"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c r="AC199" s="3"/>
      <c r="AD199" s="3"/>
    </row>
    <row r="200" ht="15.75" customHeight="1">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c r="AA200" s="3"/>
      <c r="AB200" s="3"/>
      <c r="AC200" s="3"/>
      <c r="AD200" s="3"/>
    </row>
    <row r="201" ht="15.75" customHeight="1">
      <c r="A201" s="14"/>
      <c r="B201" s="14"/>
      <c r="C201" s="14"/>
      <c r="D201" s="14"/>
      <c r="E201" s="14"/>
      <c r="F201" s="14"/>
      <c r="G201" s="14"/>
      <c r="H201" s="14"/>
      <c r="I201" s="14"/>
      <c r="J201" s="14"/>
      <c r="K201" s="14"/>
      <c r="L201" s="14"/>
      <c r="M201" s="14"/>
      <c r="N201" s="14"/>
      <c r="O201" s="14"/>
      <c r="P201" s="14"/>
      <c r="Q201" s="14"/>
      <c r="R201" s="14"/>
      <c r="S201" s="14"/>
      <c r="T201" s="14"/>
      <c r="U201" s="14"/>
      <c r="V201" s="14"/>
      <c r="W201" s="14"/>
      <c r="X201" s="14"/>
      <c r="Y201" s="14"/>
      <c r="Z201" s="14"/>
      <c r="AA201" s="14"/>
      <c r="AB201" s="14"/>
      <c r="AC201" s="14"/>
      <c r="AD201" s="14"/>
    </row>
    <row r="202" ht="15.75" customHeight="1">
      <c r="A202" s="14"/>
      <c r="B202" s="14"/>
      <c r="C202" s="14"/>
      <c r="D202" s="14"/>
      <c r="E202" s="14"/>
      <c r="F202" s="14"/>
      <c r="G202" s="14"/>
      <c r="H202" s="14"/>
      <c r="I202" s="14"/>
      <c r="J202" s="14"/>
      <c r="K202" s="14"/>
      <c r="L202" s="14"/>
      <c r="M202" s="14"/>
      <c r="N202" s="14"/>
      <c r="O202" s="14"/>
      <c r="P202" s="14"/>
      <c r="Q202" s="14"/>
      <c r="R202" s="14"/>
      <c r="S202" s="14"/>
      <c r="T202" s="14"/>
      <c r="U202" s="14"/>
      <c r="V202" s="14"/>
      <c r="W202" s="14"/>
      <c r="X202" s="14"/>
      <c r="Y202" s="14"/>
      <c r="Z202" s="14"/>
      <c r="AA202" s="14"/>
      <c r="AB202" s="14"/>
      <c r="AC202" s="14"/>
      <c r="AD202" s="14"/>
    </row>
    <row r="203" ht="15.75" customHeight="1">
      <c r="A203" s="14"/>
      <c r="B203" s="14"/>
      <c r="C203" s="14"/>
      <c r="D203" s="14"/>
      <c r="E203" s="14"/>
      <c r="F203" s="14"/>
      <c r="G203" s="14"/>
      <c r="H203" s="14"/>
      <c r="I203" s="14"/>
      <c r="J203" s="14"/>
      <c r="K203" s="14"/>
      <c r="L203" s="14"/>
      <c r="M203" s="14"/>
      <c r="N203" s="14"/>
      <c r="O203" s="14"/>
      <c r="P203" s="14"/>
      <c r="Q203" s="14"/>
      <c r="R203" s="14"/>
      <c r="S203" s="14"/>
      <c r="T203" s="14"/>
      <c r="U203" s="14"/>
      <c r="V203" s="14"/>
      <c r="W203" s="14"/>
      <c r="X203" s="14"/>
      <c r="Y203" s="14"/>
      <c r="Z203" s="14"/>
      <c r="AA203" s="14"/>
      <c r="AB203" s="14"/>
      <c r="AC203" s="14"/>
      <c r="AD203" s="14"/>
    </row>
    <row r="204" ht="15.75" customHeight="1">
      <c r="A204" s="14"/>
      <c r="B204" s="14"/>
      <c r="C204" s="14"/>
      <c r="D204" s="14"/>
      <c r="E204" s="14"/>
      <c r="F204" s="14"/>
      <c r="G204" s="14"/>
      <c r="H204" s="14"/>
      <c r="I204" s="14"/>
      <c r="J204" s="14"/>
      <c r="K204" s="14"/>
      <c r="L204" s="14"/>
      <c r="M204" s="14"/>
      <c r="N204" s="14"/>
      <c r="O204" s="14"/>
      <c r="P204" s="14"/>
      <c r="Q204" s="14"/>
      <c r="R204" s="14"/>
      <c r="S204" s="14"/>
      <c r="T204" s="14"/>
      <c r="U204" s="14"/>
      <c r="V204" s="14"/>
      <c r="W204" s="14"/>
      <c r="X204" s="14"/>
      <c r="Y204" s="14"/>
      <c r="Z204" s="14"/>
      <c r="AA204" s="14"/>
      <c r="AB204" s="14"/>
      <c r="AC204" s="14"/>
      <c r="AD204" s="14"/>
    </row>
    <row r="205" ht="15.75" customHeight="1">
      <c r="A205" s="14"/>
      <c r="B205" s="14"/>
      <c r="C205" s="14"/>
      <c r="D205" s="14"/>
      <c r="E205" s="14"/>
      <c r="F205" s="14"/>
      <c r="G205" s="14"/>
      <c r="H205" s="14"/>
      <c r="I205" s="14"/>
      <c r="J205" s="14"/>
      <c r="K205" s="14"/>
      <c r="L205" s="14"/>
      <c r="M205" s="14"/>
      <c r="N205" s="14"/>
      <c r="O205" s="14"/>
      <c r="P205" s="14"/>
      <c r="Q205" s="14"/>
      <c r="R205" s="14"/>
      <c r="S205" s="14"/>
      <c r="T205" s="14"/>
      <c r="U205" s="14"/>
      <c r="V205" s="14"/>
      <c r="W205" s="14"/>
      <c r="X205" s="14"/>
      <c r="Y205" s="14"/>
      <c r="Z205" s="14"/>
      <c r="AA205" s="14"/>
      <c r="AB205" s="14"/>
      <c r="AC205" s="14"/>
      <c r="AD205" s="14"/>
    </row>
    <row r="206" ht="15.75" customHeight="1">
      <c r="A206" s="14"/>
      <c r="B206" s="14"/>
      <c r="C206" s="14"/>
      <c r="D206" s="14"/>
      <c r="E206" s="14"/>
      <c r="F206" s="14"/>
      <c r="G206" s="14"/>
      <c r="H206" s="14"/>
      <c r="I206" s="14"/>
      <c r="J206" s="14"/>
      <c r="K206" s="14"/>
      <c r="L206" s="14"/>
      <c r="M206" s="14"/>
      <c r="N206" s="14"/>
      <c r="O206" s="14"/>
      <c r="P206" s="14"/>
      <c r="Q206" s="14"/>
      <c r="R206" s="14"/>
      <c r="S206" s="14"/>
      <c r="T206" s="14"/>
      <c r="U206" s="14"/>
      <c r="V206" s="14"/>
      <c r="W206" s="14"/>
      <c r="X206" s="14"/>
      <c r="Y206" s="14"/>
      <c r="Z206" s="14"/>
      <c r="AA206" s="14"/>
      <c r="AB206" s="14"/>
      <c r="AC206" s="14"/>
      <c r="AD206" s="14"/>
    </row>
    <row r="207" ht="15.75" customHeight="1">
      <c r="A207" s="14"/>
      <c r="B207" s="14"/>
      <c r="C207" s="14"/>
      <c r="D207" s="14"/>
      <c r="E207" s="14"/>
      <c r="F207" s="14"/>
      <c r="G207" s="14"/>
      <c r="H207" s="14"/>
      <c r="I207" s="14"/>
      <c r="J207" s="14"/>
      <c r="K207" s="14"/>
      <c r="L207" s="14"/>
      <c r="M207" s="14"/>
      <c r="N207" s="14"/>
      <c r="O207" s="14"/>
      <c r="P207" s="14"/>
      <c r="Q207" s="14"/>
      <c r="R207" s="14"/>
      <c r="S207" s="14"/>
      <c r="T207" s="14"/>
      <c r="U207" s="14"/>
      <c r="V207" s="14"/>
      <c r="W207" s="14"/>
      <c r="X207" s="14"/>
      <c r="Y207" s="14"/>
      <c r="Z207" s="14"/>
      <c r="AA207" s="14"/>
      <c r="AB207" s="14"/>
      <c r="AC207" s="14"/>
      <c r="AD207" s="14"/>
    </row>
    <row r="208" ht="15.75" customHeight="1">
      <c r="A208" s="14"/>
      <c r="B208" s="14"/>
      <c r="C208" s="14"/>
      <c r="D208" s="14"/>
      <c r="E208" s="14"/>
      <c r="F208" s="14"/>
      <c r="G208" s="14"/>
      <c r="H208" s="14"/>
      <c r="I208" s="14"/>
      <c r="J208" s="14"/>
      <c r="K208" s="14"/>
      <c r="L208" s="14"/>
      <c r="M208" s="14"/>
      <c r="N208" s="14"/>
      <c r="O208" s="14"/>
      <c r="P208" s="14"/>
      <c r="Q208" s="14"/>
      <c r="R208" s="14"/>
      <c r="S208" s="14"/>
      <c r="T208" s="14"/>
      <c r="U208" s="14"/>
      <c r="V208" s="14"/>
      <c r="W208" s="14"/>
      <c r="X208" s="14"/>
      <c r="Y208" s="14"/>
      <c r="Z208" s="14"/>
      <c r="AA208" s="14"/>
      <c r="AB208" s="14"/>
      <c r="AC208" s="14"/>
      <c r="AD208" s="14"/>
    </row>
    <row r="209" ht="15.75" customHeight="1">
      <c r="A209" s="14"/>
      <c r="B209" s="14"/>
      <c r="C209" s="14"/>
      <c r="D209" s="14"/>
      <c r="E209" s="14"/>
      <c r="F209" s="14"/>
      <c r="G209" s="14"/>
      <c r="H209" s="14"/>
      <c r="I209" s="14"/>
      <c r="J209" s="14"/>
      <c r="K209" s="14"/>
      <c r="L209" s="14"/>
      <c r="M209" s="14"/>
      <c r="N209" s="14"/>
      <c r="O209" s="14"/>
      <c r="P209" s="14"/>
      <c r="Q209" s="14"/>
      <c r="R209" s="14"/>
      <c r="S209" s="14"/>
      <c r="T209" s="14"/>
      <c r="U209" s="14"/>
      <c r="V209" s="14"/>
      <c r="W209" s="14"/>
      <c r="X209" s="14"/>
      <c r="Y209" s="14"/>
      <c r="Z209" s="14"/>
      <c r="AA209" s="14"/>
      <c r="AB209" s="14"/>
      <c r="AC209" s="14"/>
      <c r="AD209" s="14"/>
    </row>
    <row r="210" ht="15.75" customHeight="1">
      <c r="A210" s="14"/>
      <c r="B210" s="14"/>
      <c r="C210" s="14"/>
      <c r="D210" s="14"/>
      <c r="E210" s="14"/>
      <c r="F210" s="14"/>
      <c r="G210" s="14"/>
      <c r="H210" s="14"/>
      <c r="I210" s="14"/>
      <c r="J210" s="14"/>
      <c r="K210" s="14"/>
      <c r="L210" s="14"/>
      <c r="M210" s="14"/>
      <c r="N210" s="14"/>
      <c r="O210" s="14"/>
      <c r="P210" s="14"/>
      <c r="Q210" s="14"/>
      <c r="R210" s="14"/>
      <c r="S210" s="14"/>
      <c r="T210" s="14"/>
      <c r="U210" s="14"/>
      <c r="V210" s="14"/>
      <c r="W210" s="14"/>
      <c r="X210" s="14"/>
      <c r="Y210" s="14"/>
      <c r="Z210" s="14"/>
      <c r="AA210" s="14"/>
      <c r="AB210" s="14"/>
      <c r="AC210" s="14"/>
      <c r="AD210" s="14"/>
    </row>
    <row r="211" ht="15.75" customHeight="1">
      <c r="A211" s="14"/>
      <c r="B211" s="14"/>
      <c r="C211" s="14"/>
      <c r="D211" s="14"/>
      <c r="E211" s="14"/>
      <c r="F211" s="14"/>
      <c r="G211" s="14"/>
      <c r="H211" s="14"/>
      <c r="I211" s="14"/>
      <c r="J211" s="14"/>
      <c r="K211" s="14"/>
      <c r="L211" s="14"/>
      <c r="M211" s="14"/>
      <c r="N211" s="14"/>
      <c r="O211" s="14"/>
      <c r="P211" s="14"/>
      <c r="Q211" s="14"/>
      <c r="R211" s="14"/>
      <c r="S211" s="14"/>
      <c r="T211" s="14"/>
      <c r="U211" s="14"/>
      <c r="V211" s="14"/>
      <c r="W211" s="14"/>
      <c r="X211" s="14"/>
      <c r="Y211" s="14"/>
      <c r="Z211" s="14"/>
      <c r="AA211" s="14"/>
      <c r="AB211" s="14"/>
      <c r="AC211" s="14"/>
      <c r="AD211" s="14"/>
    </row>
    <row r="212" ht="15.75" customHeight="1">
      <c r="A212" s="14"/>
      <c r="B212" s="14"/>
      <c r="C212" s="14"/>
      <c r="D212" s="14"/>
      <c r="E212" s="14"/>
      <c r="F212" s="14"/>
      <c r="G212" s="14"/>
      <c r="H212" s="14"/>
      <c r="I212" s="14"/>
      <c r="J212" s="14"/>
      <c r="K212" s="14"/>
      <c r="L212" s="14"/>
      <c r="M212" s="14"/>
      <c r="N212" s="14"/>
      <c r="O212" s="14"/>
      <c r="P212" s="14"/>
      <c r="Q212" s="14"/>
      <c r="R212" s="14"/>
      <c r="S212" s="14"/>
      <c r="T212" s="14"/>
      <c r="U212" s="14"/>
      <c r="V212" s="14"/>
      <c r="W212" s="14"/>
      <c r="X212" s="14"/>
      <c r="Y212" s="14"/>
      <c r="Z212" s="14"/>
      <c r="AA212" s="14"/>
      <c r="AB212" s="14"/>
      <c r="AC212" s="14"/>
      <c r="AD212" s="14"/>
    </row>
    <row r="213" ht="15.75" customHeight="1">
      <c r="A213" s="14"/>
      <c r="B213" s="14"/>
      <c r="C213" s="14"/>
      <c r="D213" s="14"/>
      <c r="E213" s="14"/>
      <c r="F213" s="14"/>
      <c r="G213" s="14"/>
      <c r="H213" s="14"/>
      <c r="I213" s="14"/>
      <c r="J213" s="14"/>
      <c r="K213" s="14"/>
      <c r="L213" s="14"/>
      <c r="M213" s="14"/>
      <c r="N213" s="14"/>
      <c r="O213" s="14"/>
      <c r="P213" s="14"/>
      <c r="Q213" s="14"/>
      <c r="R213" s="14"/>
      <c r="S213" s="14"/>
      <c r="T213" s="14"/>
      <c r="U213" s="14"/>
      <c r="V213" s="14"/>
      <c r="W213" s="14"/>
      <c r="X213" s="14"/>
      <c r="Y213" s="14"/>
      <c r="Z213" s="14"/>
      <c r="AA213" s="14"/>
      <c r="AB213" s="14"/>
      <c r="AC213" s="14"/>
      <c r="AD213" s="14"/>
    </row>
    <row r="214" ht="15.75" customHeight="1">
      <c r="A214" s="14"/>
      <c r="B214" s="14"/>
      <c r="C214" s="14"/>
      <c r="D214" s="14"/>
      <c r="E214" s="14"/>
      <c r="F214" s="14"/>
      <c r="G214" s="14"/>
      <c r="H214" s="14"/>
      <c r="I214" s="14"/>
      <c r="J214" s="14"/>
      <c r="K214" s="14"/>
      <c r="L214" s="14"/>
      <c r="M214" s="14"/>
      <c r="N214" s="14"/>
      <c r="O214" s="14"/>
      <c r="P214" s="14"/>
      <c r="Q214" s="14"/>
      <c r="R214" s="14"/>
      <c r="S214" s="14"/>
      <c r="T214" s="14"/>
      <c r="U214" s="14"/>
      <c r="V214" s="14"/>
      <c r="W214" s="14"/>
      <c r="X214" s="14"/>
      <c r="Y214" s="14"/>
      <c r="Z214" s="14"/>
      <c r="AA214" s="14"/>
      <c r="AB214" s="14"/>
      <c r="AC214" s="14"/>
      <c r="AD214" s="14"/>
    </row>
    <row r="215" ht="15.75" customHeight="1">
      <c r="A215" s="14"/>
      <c r="B215" s="14"/>
      <c r="C215" s="14"/>
      <c r="D215" s="14"/>
      <c r="E215" s="14"/>
      <c r="F215" s="14"/>
      <c r="G215" s="14"/>
      <c r="H215" s="14"/>
      <c r="I215" s="14"/>
      <c r="J215" s="14"/>
      <c r="K215" s="14"/>
      <c r="L215" s="14"/>
      <c r="M215" s="14"/>
      <c r="N215" s="14"/>
      <c r="O215" s="14"/>
      <c r="P215" s="14"/>
      <c r="Q215" s="14"/>
      <c r="R215" s="14"/>
      <c r="S215" s="14"/>
      <c r="T215" s="14"/>
      <c r="U215" s="14"/>
      <c r="V215" s="14"/>
      <c r="W215" s="14"/>
      <c r="X215" s="14"/>
      <c r="Y215" s="14"/>
      <c r="Z215" s="14"/>
      <c r="AA215" s="14"/>
      <c r="AB215" s="14"/>
      <c r="AC215" s="14"/>
      <c r="AD215" s="14"/>
    </row>
    <row r="216" ht="15.75" customHeight="1">
      <c r="A216" s="14"/>
      <c r="B216" s="14"/>
      <c r="C216" s="14"/>
      <c r="D216" s="14"/>
      <c r="E216" s="14"/>
      <c r="F216" s="14"/>
      <c r="G216" s="14"/>
      <c r="H216" s="14"/>
      <c r="I216" s="14"/>
      <c r="J216" s="14"/>
      <c r="K216" s="14"/>
      <c r="L216" s="14"/>
      <c r="M216" s="14"/>
      <c r="N216" s="14"/>
      <c r="O216" s="14"/>
      <c r="P216" s="14"/>
      <c r="Q216" s="14"/>
      <c r="R216" s="14"/>
      <c r="S216" s="14"/>
      <c r="T216" s="14"/>
      <c r="U216" s="14"/>
      <c r="V216" s="14"/>
      <c r="W216" s="14"/>
      <c r="X216" s="14"/>
      <c r="Y216" s="14"/>
      <c r="Z216" s="14"/>
      <c r="AA216" s="14"/>
      <c r="AB216" s="14"/>
      <c r="AC216" s="14"/>
      <c r="AD216" s="14"/>
    </row>
    <row r="217" ht="15.75" customHeight="1">
      <c r="A217" s="14"/>
      <c r="B217" s="14"/>
      <c r="C217" s="14"/>
      <c r="D217" s="14"/>
      <c r="E217" s="14"/>
      <c r="F217" s="14"/>
      <c r="G217" s="14"/>
      <c r="H217" s="14"/>
      <c r="I217" s="14"/>
      <c r="J217" s="14"/>
      <c r="K217" s="14"/>
      <c r="L217" s="14"/>
      <c r="M217" s="14"/>
      <c r="N217" s="14"/>
      <c r="O217" s="14"/>
      <c r="P217" s="14"/>
      <c r="Q217" s="14"/>
      <c r="R217" s="14"/>
      <c r="S217" s="14"/>
      <c r="T217" s="14"/>
      <c r="U217" s="14"/>
      <c r="V217" s="14"/>
      <c r="W217" s="14"/>
      <c r="X217" s="14"/>
      <c r="Y217" s="14"/>
      <c r="Z217" s="14"/>
      <c r="AA217" s="14"/>
      <c r="AB217" s="14"/>
      <c r="AC217" s="14"/>
      <c r="AD217" s="14"/>
    </row>
    <row r="218" ht="15.75" customHeight="1">
      <c r="A218" s="14"/>
      <c r="B218" s="14"/>
      <c r="C218" s="14"/>
      <c r="D218" s="14"/>
      <c r="E218" s="14"/>
      <c r="F218" s="14"/>
      <c r="G218" s="14"/>
      <c r="H218" s="14"/>
      <c r="I218" s="14"/>
      <c r="J218" s="14"/>
      <c r="K218" s="14"/>
      <c r="L218" s="14"/>
      <c r="M218" s="14"/>
      <c r="N218" s="14"/>
      <c r="O218" s="14"/>
      <c r="P218" s="14"/>
      <c r="Q218" s="14"/>
      <c r="R218" s="14"/>
      <c r="S218" s="14"/>
      <c r="T218" s="14"/>
      <c r="U218" s="14"/>
      <c r="V218" s="14"/>
      <c r="W218" s="14"/>
      <c r="X218" s="14"/>
      <c r="Y218" s="14"/>
      <c r="Z218" s="14"/>
      <c r="AA218" s="14"/>
      <c r="AB218" s="14"/>
      <c r="AC218" s="14"/>
      <c r="AD218" s="14"/>
    </row>
    <row r="219" ht="15.75" customHeight="1">
      <c r="A219" s="14"/>
      <c r="B219" s="14"/>
      <c r="C219" s="14"/>
      <c r="D219" s="14"/>
      <c r="E219" s="14"/>
      <c r="F219" s="14"/>
      <c r="G219" s="14"/>
      <c r="H219" s="14"/>
      <c r="I219" s="14"/>
      <c r="J219" s="14"/>
      <c r="K219" s="14"/>
      <c r="L219" s="14"/>
      <c r="M219" s="14"/>
      <c r="N219" s="14"/>
      <c r="O219" s="14"/>
      <c r="P219" s="14"/>
      <c r="Q219" s="14"/>
      <c r="R219" s="14"/>
      <c r="S219" s="14"/>
      <c r="T219" s="14"/>
      <c r="U219" s="14"/>
      <c r="V219" s="14"/>
      <c r="W219" s="14"/>
      <c r="X219" s="14"/>
      <c r="Y219" s="14"/>
      <c r="Z219" s="14"/>
      <c r="AA219" s="14"/>
      <c r="AB219" s="14"/>
      <c r="AC219" s="14"/>
      <c r="AD219" s="14"/>
    </row>
    <row r="220" ht="15.75" customHeight="1">
      <c r="A220" s="14"/>
      <c r="B220" s="14"/>
      <c r="C220" s="14"/>
      <c r="D220" s="14"/>
      <c r="E220" s="14"/>
      <c r="F220" s="14"/>
      <c r="G220" s="14"/>
      <c r="H220" s="14"/>
      <c r="I220" s="14"/>
      <c r="J220" s="14"/>
      <c r="K220" s="14"/>
      <c r="L220" s="14"/>
      <c r="M220" s="14"/>
      <c r="N220" s="14"/>
      <c r="O220" s="14"/>
      <c r="P220" s="14"/>
      <c r="Q220" s="14"/>
      <c r="R220" s="14"/>
      <c r="S220" s="14"/>
      <c r="T220" s="14"/>
      <c r="U220" s="14"/>
      <c r="V220" s="14"/>
      <c r="W220" s="14"/>
      <c r="X220" s="14"/>
      <c r="Y220" s="14"/>
      <c r="Z220" s="14"/>
      <c r="AA220" s="14"/>
      <c r="AB220" s="14"/>
      <c r="AC220" s="14"/>
      <c r="AD220" s="14"/>
    </row>
    <row r="221" ht="15.75" customHeight="1">
      <c r="A221" s="14"/>
      <c r="B221" s="14"/>
      <c r="C221" s="14"/>
      <c r="D221" s="14"/>
      <c r="E221" s="14"/>
      <c r="F221" s="14"/>
      <c r="G221" s="14"/>
      <c r="H221" s="14"/>
      <c r="I221" s="14"/>
      <c r="J221" s="14"/>
      <c r="K221" s="14"/>
      <c r="L221" s="14"/>
      <c r="M221" s="14"/>
      <c r="N221" s="14"/>
      <c r="O221" s="14"/>
      <c r="P221" s="14"/>
      <c r="Q221" s="14"/>
      <c r="R221" s="14"/>
      <c r="S221" s="14"/>
      <c r="T221" s="14"/>
      <c r="U221" s="14"/>
      <c r="V221" s="14"/>
      <c r="W221" s="14"/>
      <c r="X221" s="14"/>
      <c r="Y221" s="14"/>
      <c r="Z221" s="14"/>
      <c r="AA221" s="14"/>
      <c r="AB221" s="14"/>
      <c r="AC221" s="14"/>
      <c r="AD221" s="14"/>
    </row>
    <row r="222" ht="15.75" customHeight="1">
      <c r="A222" s="14"/>
      <c r="B222" s="14"/>
      <c r="C222" s="14"/>
      <c r="D222" s="14"/>
      <c r="E222" s="14"/>
      <c r="F222" s="14"/>
      <c r="G222" s="14"/>
      <c r="H222" s="14"/>
      <c r="I222" s="14"/>
      <c r="J222" s="14"/>
      <c r="K222" s="14"/>
      <c r="L222" s="14"/>
      <c r="M222" s="14"/>
      <c r="N222" s="14"/>
      <c r="O222" s="14"/>
      <c r="P222" s="14"/>
      <c r="Q222" s="14"/>
      <c r="R222" s="14"/>
      <c r="S222" s="14"/>
      <c r="T222" s="14"/>
      <c r="U222" s="14"/>
      <c r="V222" s="14"/>
      <c r="W222" s="14"/>
      <c r="X222" s="14"/>
      <c r="Y222" s="14"/>
      <c r="Z222" s="14"/>
      <c r="AA222" s="14"/>
      <c r="AB222" s="14"/>
      <c r="AC222" s="14"/>
      <c r="AD222" s="14"/>
    </row>
    <row r="223" ht="15.75" customHeight="1">
      <c r="A223" s="14"/>
      <c r="B223" s="14"/>
      <c r="C223" s="14"/>
      <c r="D223" s="14"/>
      <c r="E223" s="14"/>
      <c r="F223" s="14"/>
      <c r="G223" s="14"/>
      <c r="H223" s="14"/>
      <c r="I223" s="14"/>
      <c r="J223" s="14"/>
      <c r="K223" s="14"/>
      <c r="L223" s="14"/>
      <c r="M223" s="14"/>
      <c r="N223" s="14"/>
      <c r="O223" s="14"/>
      <c r="P223" s="14"/>
      <c r="Q223" s="14"/>
      <c r="R223" s="14"/>
      <c r="S223" s="14"/>
      <c r="T223" s="14"/>
      <c r="U223" s="14"/>
      <c r="V223" s="14"/>
      <c r="W223" s="14"/>
      <c r="X223" s="14"/>
      <c r="Y223" s="14"/>
      <c r="Z223" s="14"/>
      <c r="AA223" s="14"/>
      <c r="AB223" s="14"/>
      <c r="AC223" s="14"/>
      <c r="AD223" s="14"/>
    </row>
    <row r="224" ht="15.75" customHeight="1">
      <c r="A224" s="14"/>
      <c r="B224" s="14"/>
      <c r="C224" s="14"/>
      <c r="D224" s="14"/>
      <c r="E224" s="14"/>
      <c r="F224" s="14"/>
      <c r="G224" s="14"/>
      <c r="H224" s="14"/>
      <c r="I224" s="14"/>
      <c r="J224" s="14"/>
      <c r="K224" s="14"/>
      <c r="L224" s="14"/>
      <c r="M224" s="14"/>
      <c r="N224" s="14"/>
      <c r="O224" s="14"/>
      <c r="P224" s="14"/>
      <c r="Q224" s="14"/>
      <c r="R224" s="14"/>
      <c r="S224" s="14"/>
      <c r="T224" s="14"/>
      <c r="U224" s="14"/>
      <c r="V224" s="14"/>
      <c r="W224" s="14"/>
      <c r="X224" s="14"/>
      <c r="Y224" s="14"/>
      <c r="Z224" s="14"/>
      <c r="AA224" s="14"/>
      <c r="AB224" s="14"/>
      <c r="AC224" s="14"/>
      <c r="AD224" s="14"/>
    </row>
    <row r="225" ht="15.75" customHeight="1">
      <c r="A225" s="14"/>
      <c r="B225" s="14"/>
      <c r="C225" s="14"/>
      <c r="D225" s="14"/>
      <c r="E225" s="14"/>
      <c r="F225" s="14"/>
      <c r="G225" s="14"/>
      <c r="H225" s="14"/>
      <c r="I225" s="14"/>
      <c r="J225" s="14"/>
      <c r="K225" s="14"/>
      <c r="L225" s="14"/>
      <c r="M225" s="14"/>
      <c r="N225" s="14"/>
      <c r="O225" s="14"/>
      <c r="P225" s="14"/>
      <c r="Q225" s="14"/>
      <c r="R225" s="14"/>
      <c r="S225" s="14"/>
      <c r="T225" s="14"/>
      <c r="U225" s="14"/>
      <c r="V225" s="14"/>
      <c r="W225" s="14"/>
      <c r="X225" s="14"/>
      <c r="Y225" s="14"/>
      <c r="Z225" s="14"/>
      <c r="AA225" s="14"/>
      <c r="AB225" s="14"/>
      <c r="AC225" s="14"/>
      <c r="AD225" s="14"/>
    </row>
    <row r="226" ht="15.75" customHeight="1">
      <c r="A226" s="14"/>
      <c r="B226" s="14"/>
      <c r="C226" s="14"/>
      <c r="D226" s="14"/>
      <c r="E226" s="14"/>
      <c r="F226" s="14"/>
      <c r="G226" s="14"/>
      <c r="H226" s="14"/>
      <c r="I226" s="14"/>
      <c r="J226" s="14"/>
      <c r="K226" s="14"/>
      <c r="L226" s="14"/>
      <c r="M226" s="14"/>
      <c r="N226" s="14"/>
      <c r="O226" s="14"/>
      <c r="P226" s="14"/>
      <c r="Q226" s="14"/>
      <c r="R226" s="14"/>
      <c r="S226" s="14"/>
      <c r="T226" s="14"/>
      <c r="U226" s="14"/>
      <c r="V226" s="14"/>
      <c r="W226" s="14"/>
      <c r="X226" s="14"/>
      <c r="Y226" s="14"/>
      <c r="Z226" s="14"/>
      <c r="AA226" s="14"/>
      <c r="AB226" s="14"/>
      <c r="AC226" s="14"/>
      <c r="AD226" s="14"/>
    </row>
    <row r="227" ht="15.75" customHeight="1">
      <c r="A227" s="14"/>
      <c r="B227" s="14"/>
      <c r="C227" s="14"/>
      <c r="D227" s="14"/>
      <c r="E227" s="14"/>
      <c r="F227" s="14"/>
      <c r="G227" s="14"/>
      <c r="H227" s="14"/>
      <c r="I227" s="14"/>
      <c r="J227" s="14"/>
      <c r="K227" s="14"/>
      <c r="L227" s="14"/>
      <c r="M227" s="14"/>
      <c r="N227" s="14"/>
      <c r="O227" s="14"/>
      <c r="P227" s="14"/>
      <c r="Q227" s="14"/>
      <c r="R227" s="14"/>
      <c r="S227" s="14"/>
      <c r="T227" s="14"/>
      <c r="U227" s="14"/>
      <c r="V227" s="14"/>
      <c r="W227" s="14"/>
      <c r="X227" s="14"/>
      <c r="Y227" s="14"/>
      <c r="Z227" s="14"/>
      <c r="AA227" s="14"/>
      <c r="AB227" s="14"/>
      <c r="AC227" s="14"/>
      <c r="AD227" s="14"/>
    </row>
    <row r="228" ht="15.75" customHeight="1">
      <c r="A228" s="14"/>
      <c r="B228" s="14"/>
      <c r="C228" s="14"/>
      <c r="D228" s="14"/>
      <c r="E228" s="14"/>
      <c r="F228" s="14"/>
      <c r="G228" s="14"/>
      <c r="H228" s="14"/>
      <c r="I228" s="14"/>
      <c r="J228" s="14"/>
      <c r="K228" s="14"/>
      <c r="L228" s="14"/>
      <c r="M228" s="14"/>
      <c r="N228" s="14"/>
      <c r="O228" s="14"/>
      <c r="P228" s="14"/>
      <c r="Q228" s="14"/>
      <c r="R228" s="14"/>
      <c r="S228" s="14"/>
      <c r="T228" s="14"/>
      <c r="U228" s="14"/>
      <c r="V228" s="14"/>
      <c r="W228" s="14"/>
      <c r="X228" s="14"/>
      <c r="Y228" s="14"/>
      <c r="Z228" s="14"/>
      <c r="AA228" s="14"/>
      <c r="AB228" s="14"/>
      <c r="AC228" s="14"/>
      <c r="AD228" s="14"/>
    </row>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rintOptions/>
  <pageMargins bottom="1.0" footer="0.0" header="0.0" left="0.75" right="0.75" top="1.0"/>
  <pageSetup orientation="landscape"/>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17">
        <v>1.0</v>
      </c>
      <c r="Y1" s="2"/>
      <c r="Z1" s="2"/>
    </row>
    <row r="2">
      <c r="A2" s="2"/>
      <c r="B2" s="15">
        <v>2014.0</v>
      </c>
      <c r="C2" s="15">
        <v>2015.0</v>
      </c>
      <c r="D2" s="15">
        <v>2016.0</v>
      </c>
      <c r="E2" s="15">
        <v>2017.0</v>
      </c>
      <c r="F2" s="15">
        <v>2018.0</v>
      </c>
      <c r="G2" s="15">
        <v>2019.0</v>
      </c>
      <c r="H2" s="15">
        <v>2020.0</v>
      </c>
      <c r="I2" s="15">
        <v>2021.0</v>
      </c>
      <c r="J2" s="15">
        <v>2022.0</v>
      </c>
      <c r="K2" s="15">
        <v>2023.0</v>
      </c>
      <c r="L2" s="15">
        <v>2024.0</v>
      </c>
      <c r="M2" s="15">
        <v>2025.0</v>
      </c>
      <c r="N2" s="15">
        <v>2026.0</v>
      </c>
      <c r="O2" s="15">
        <v>2027.0</v>
      </c>
      <c r="P2" s="15">
        <v>2028.0</v>
      </c>
      <c r="Q2" s="15">
        <v>2029.0</v>
      </c>
      <c r="R2" s="15">
        <v>2030.0</v>
      </c>
      <c r="S2" s="17">
        <v>2031.0</v>
      </c>
      <c r="T2" s="17">
        <v>2032.0</v>
      </c>
      <c r="U2" s="17">
        <v>2033.0</v>
      </c>
      <c r="V2" s="17">
        <v>2034.0</v>
      </c>
      <c r="W2" s="17">
        <v>2035.0</v>
      </c>
      <c r="X2" s="1"/>
      <c r="Y2" s="2"/>
      <c r="Z2" s="2"/>
    </row>
    <row r="3">
      <c r="A3" s="15" t="s">
        <v>22</v>
      </c>
      <c r="B3" s="1">
        <v>33.0</v>
      </c>
      <c r="C3" s="1">
        <v>81.0</v>
      </c>
      <c r="D3" s="1">
        <v>106.0</v>
      </c>
      <c r="E3" s="1">
        <v>133.0</v>
      </c>
      <c r="F3" s="1">
        <v>142.0</v>
      </c>
      <c r="G3" s="1">
        <v>114.0</v>
      </c>
      <c r="H3" s="1">
        <v>70.0</v>
      </c>
      <c r="I3" s="1">
        <v>327.0</v>
      </c>
      <c r="J3" s="1">
        <v>444.0</v>
      </c>
      <c r="K3" s="1">
        <v>211.0</v>
      </c>
      <c r="L3" s="1">
        <f>IF(K3*FORECAST(L2,B3:K3,B2:K2)&gt;0,FORECAST(L2,B3:K3,B2:K2),K3)*$X$1</f>
        <v>333.8</v>
      </c>
      <c r="M3" s="1">
        <f>IF(L3*FORECAST(M2,B3:L3,B2:L2)&gt;0,FORECAST(M2,B3:L3,B2:L2),L3)*$X$1</f>
        <v>364.2909091</v>
      </c>
      <c r="N3" s="1">
        <f>IF(M3*FORECAST(N2,B3:M3,B2:M2)&gt;0,FORECAST(N2,B3:M3,B2:M2),M3)*$X$1</f>
        <v>394.7818182</v>
      </c>
      <c r="O3" s="1">
        <f>IF(N3*FORECAST(O2,B3:N3,B2:N2)&gt;0,FORECAST(O2,B3:N3,B2:N2),N3)*$X$1</f>
        <v>425.2727273</v>
      </c>
      <c r="P3" s="1">
        <f>IF(O3*FORECAST(P2,B3:O3,B2:O2)&gt;0,FORECAST(P2,B3:O3,B2:O2),O3)*$X$1</f>
        <v>455.7636364</v>
      </c>
      <c r="Q3" s="1">
        <f>IF(P3*FORECAST(Q2,B3:P3,B2:P2)&gt;0,FORECAST(Q2,B3:P3,B2:P2),P3)*$X$1</f>
        <v>486.2545455</v>
      </c>
      <c r="R3" s="1">
        <f>IF(Q3*FORECAST(R2,B3:Q3,B2:Q2)&gt;0,FORECAST(R2,B3:Q3,B2:Q2),Q3)*$X$1</f>
        <v>516.7454545</v>
      </c>
      <c r="S3" s="17">
        <f>IF(R3*FORECAST(S2,B3:R3,B2:R2)&gt;0,FORECAST(S2,B3:R3,B2:R2),R3)*$X$1</f>
        <v>547.2363636</v>
      </c>
      <c r="T3" s="17">
        <f>IF(S3*FORECAST(T2,B3:S3,B2:S2)&gt;0,FORECAST(T2,B3:S3,B2:S2),S3)*$X$1</f>
        <v>577.7272727</v>
      </c>
      <c r="U3" s="17">
        <f>IF(T3*FORECAST(U2,B3:T3,B2:T2)&gt;0,FORECAST(U2,B3:T3,B2:T2),T3)*$X$1</f>
        <v>608.2181818</v>
      </c>
      <c r="V3" s="17">
        <f>IF(U3*FORECAST(V2,B3:U3,B2:U2)&gt;0,FORECAST(V2,B3:U3,B2:U2),U3)*$X$1</f>
        <v>638.7090909</v>
      </c>
      <c r="W3" s="17">
        <f>IF(V3*FORECAST(W2,B3:V3,B2:V2)&gt;0,FORECAST(W2,B3:V3,B2:V2),V3)*$X$1</f>
        <v>669.2</v>
      </c>
      <c r="X3" s="2"/>
      <c r="Y3" s="2"/>
      <c r="Z3" s="2"/>
    </row>
    <row r="4">
      <c r="A4" s="15" t="s">
        <v>132</v>
      </c>
      <c r="B4" s="1">
        <v>156.0</v>
      </c>
      <c r="C4" s="1">
        <v>209.0</v>
      </c>
      <c r="D4" s="1">
        <v>352.0</v>
      </c>
      <c r="E4" s="1">
        <v>305.0</v>
      </c>
      <c r="F4" s="1">
        <v>427.0</v>
      </c>
      <c r="G4" s="1">
        <v>639.0</v>
      </c>
      <c r="H4" s="1">
        <v>926.0</v>
      </c>
      <c r="I4" s="1">
        <v>686.0</v>
      </c>
      <c r="J4" s="1">
        <v>796.0</v>
      </c>
      <c r="K4" s="1">
        <v>1320.0</v>
      </c>
      <c r="L4" s="2"/>
      <c r="M4" s="2"/>
      <c r="N4" s="2"/>
      <c r="O4" s="2"/>
      <c r="P4" s="2"/>
      <c r="Q4" s="2"/>
      <c r="R4" s="2"/>
      <c r="S4" s="2"/>
      <c r="T4" s="2"/>
      <c r="U4" s="2"/>
      <c r="V4" s="2"/>
      <c r="W4" s="2"/>
      <c r="X4" s="2"/>
      <c r="Y4" s="2"/>
      <c r="Z4" s="2"/>
    </row>
    <row r="5">
      <c r="A5" s="15" t="s">
        <v>1582</v>
      </c>
      <c r="B5" s="1">
        <v>48.0</v>
      </c>
      <c r="C5" s="1">
        <v>48.0</v>
      </c>
      <c r="D5" s="1">
        <v>49.0</v>
      </c>
      <c r="E5" s="1">
        <v>49.0</v>
      </c>
      <c r="F5" s="1">
        <v>48.0</v>
      </c>
      <c r="G5" s="1">
        <v>47.0</v>
      </c>
      <c r="H5" s="1">
        <v>47.0</v>
      </c>
      <c r="I5" s="1">
        <v>48.0</v>
      </c>
      <c r="J5" s="1">
        <v>44.0</v>
      </c>
      <c r="K5" s="1">
        <v>39.0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1583</v>
      </c>
      <c r="L7" s="1">
        <f>IF(W3*FORECAST(W2,B3:W3,B2:W2)&gt;0,FORECAST(W2,B3:W3,B2:W2),V3)*$X$1 * (1+0.02)/(0.0789-0.02)</f>
        <v>11588.86248</v>
      </c>
      <c r="M7" s="2"/>
      <c r="N7" s="2"/>
      <c r="O7" s="2"/>
      <c r="P7" s="2"/>
      <c r="Q7" s="2"/>
      <c r="R7" s="2"/>
      <c r="S7" s="2"/>
      <c r="T7" s="2"/>
      <c r="U7" s="2"/>
      <c r="V7" s="2"/>
      <c r="W7" s="2"/>
      <c r="X7" s="2"/>
      <c r="Y7" s="2"/>
      <c r="Z7" s="2"/>
    </row>
    <row r="8">
      <c r="A8" s="2"/>
      <c r="B8" s="2"/>
      <c r="C8" s="2"/>
      <c r="D8" s="2"/>
      <c r="E8" s="2"/>
      <c r="F8" s="2"/>
      <c r="G8" s="2"/>
      <c r="H8" s="2"/>
      <c r="I8" s="2"/>
      <c r="J8" s="2"/>
      <c r="K8" s="1" t="s">
        <v>1584</v>
      </c>
      <c r="L8" s="18">
        <f t="array" ref="L8">NPV(0.0789,M3:W3)</f>
        <v>3544.520843</v>
      </c>
      <c r="M8" s="2"/>
      <c r="N8" s="2"/>
      <c r="O8" s="2"/>
      <c r="P8" s="2"/>
      <c r="Q8" s="2"/>
      <c r="R8" s="2"/>
      <c r="S8" s="2"/>
      <c r="T8" s="2"/>
      <c r="U8" s="2"/>
      <c r="V8" s="2"/>
      <c r="W8" s="2"/>
      <c r="X8" s="2"/>
      <c r="Y8" s="2"/>
      <c r="Z8" s="2"/>
    </row>
    <row r="9">
      <c r="A9" s="2"/>
      <c r="B9" s="2"/>
      <c r="C9" s="2"/>
      <c r="D9" s="2"/>
      <c r="E9" s="2"/>
      <c r="F9" s="2"/>
      <c r="G9" s="2"/>
      <c r="H9" s="2"/>
      <c r="I9" s="2"/>
      <c r="J9" s="2"/>
      <c r="K9" s="1" t="s">
        <v>1585</v>
      </c>
      <c r="L9" s="18">
        <f t="array" ref="L9">NPV(0.0789,M16:W16)</f>
        <v>5026.291654</v>
      </c>
      <c r="M9" s="2"/>
      <c r="N9" s="2"/>
      <c r="O9" s="2"/>
      <c r="P9" s="2"/>
      <c r="Q9" s="2"/>
      <c r="R9" s="2"/>
      <c r="S9" s="2"/>
      <c r="T9" s="2"/>
      <c r="U9" s="2"/>
      <c r="V9" s="2"/>
      <c r="W9" s="2"/>
      <c r="X9" s="2"/>
      <c r="Y9" s="2"/>
      <c r="Z9" s="2"/>
    </row>
    <row r="10">
      <c r="A10" s="2"/>
      <c r="B10" s="2"/>
      <c r="C10" s="2"/>
      <c r="D10" s="2"/>
      <c r="E10" s="2"/>
      <c r="F10" s="2"/>
      <c r="G10" s="2"/>
      <c r="H10" s="2"/>
      <c r="I10" s="2"/>
      <c r="J10" s="2"/>
      <c r="K10" s="1" t="s">
        <v>1586</v>
      </c>
      <c r="L10" s="18">
        <f>L8 + L9</f>
        <v>8570.812496</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1320.0</v>
      </c>
      <c r="M11" s="2"/>
      <c r="N11" s="2"/>
      <c r="O11" s="2"/>
      <c r="P11" s="2"/>
      <c r="Q11" s="2"/>
      <c r="R11" s="2"/>
      <c r="S11" s="2"/>
      <c r="T11" s="2"/>
      <c r="U11" s="2"/>
      <c r="V11" s="2"/>
      <c r="W11" s="2"/>
      <c r="X11" s="2"/>
      <c r="Y11" s="2"/>
      <c r="Z11" s="2"/>
    </row>
    <row r="12">
      <c r="A12" s="2"/>
      <c r="B12" s="2"/>
      <c r="C12" s="2"/>
      <c r="D12" s="2"/>
      <c r="E12" s="2"/>
      <c r="F12" s="2"/>
      <c r="G12" s="2"/>
      <c r="H12" s="2"/>
      <c r="I12" s="2"/>
      <c r="J12" s="2"/>
      <c r="K12" s="1" t="s">
        <v>1587</v>
      </c>
      <c r="L12" s="18">
        <f>L10 - L11</f>
        <v>7250.812496</v>
      </c>
      <c r="M12" s="2"/>
      <c r="N12" s="2"/>
      <c r="O12" s="2"/>
      <c r="P12" s="2"/>
      <c r="Q12" s="2"/>
      <c r="R12" s="2"/>
      <c r="S12" s="2"/>
      <c r="T12" s="2"/>
      <c r="U12" s="2"/>
      <c r="V12" s="2"/>
      <c r="W12" s="2"/>
      <c r="X12" s="2"/>
      <c r="Y12" s="2"/>
      <c r="Z12" s="2"/>
    </row>
    <row r="13">
      <c r="A13" s="2"/>
      <c r="B13" s="2"/>
      <c r="C13" s="2"/>
      <c r="D13" s="2"/>
      <c r="E13" s="2"/>
      <c r="F13" s="2"/>
      <c r="G13" s="2"/>
      <c r="H13" s="2"/>
      <c r="I13" s="2"/>
      <c r="J13" s="2"/>
      <c r="K13" s="1" t="s">
        <v>1588</v>
      </c>
      <c r="L13" s="1">
        <v>39.0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8">
        <f>L12/L13</f>
        <v>185.9182691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17">
        <v>0.0</v>
      </c>
      <c r="U16" s="17">
        <v>0.0</v>
      </c>
      <c r="V16" s="17">
        <v>0.0</v>
      </c>
      <c r="W16" s="17">
        <f>IF(W3*FORECAST(W2,B3:W3,B2:W2)&gt;0,FORECAST(W2,B3:W3,B2:W2),V3)*$X$1 * (1+0.02)/(0.0789-0.02)</f>
        <v>11588.86248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4.43" defaultRowHeight="15.0"/>
  <cols>
    <col customWidth="1" min="1" max="6" width="14.43"/>
  </cols>
  <sheetData>
    <row r="1">
      <c r="A1" s="3"/>
      <c r="B1" s="3"/>
      <c r="C1" s="3"/>
      <c r="D1" s="3"/>
      <c r="E1" s="3"/>
      <c r="F1" s="3"/>
      <c r="G1" s="3"/>
      <c r="H1" s="3"/>
      <c r="I1" s="4" t="s">
        <v>17</v>
      </c>
      <c r="J1" s="5" t="str">
        <f>Data!B1</f>
        <v>AMN</v>
      </c>
      <c r="K1" s="3"/>
      <c r="L1" s="3"/>
      <c r="M1" s="3"/>
      <c r="N1" s="3"/>
      <c r="O1" s="3"/>
      <c r="P1" s="3"/>
      <c r="Q1" s="3"/>
      <c r="R1" s="3"/>
      <c r="S1" s="3"/>
      <c r="T1" s="3"/>
      <c r="U1" s="3"/>
      <c r="V1" s="3"/>
      <c r="W1" s="3"/>
      <c r="X1" s="3"/>
      <c r="Y1" s="3"/>
      <c r="Z1" s="3"/>
      <c r="AA1" s="3"/>
      <c r="AB1" s="3"/>
      <c r="AC1" s="3"/>
      <c r="AD1" s="3"/>
    </row>
    <row r="2">
      <c r="A2" s="6"/>
      <c r="B2" s="7">
        <f>IF(B3&gt;0,B3,0)</f>
        <v>0</v>
      </c>
      <c r="C2" s="6"/>
      <c r="D2" s="7">
        <f>IF(D3&gt;0,D3,0)</f>
        <v>0.01023890785</v>
      </c>
      <c r="E2" s="6"/>
      <c r="F2" s="7">
        <v>0.0</v>
      </c>
      <c r="G2" s="6"/>
      <c r="H2" s="7">
        <f>IF(H3&gt;0,H3,0)</f>
        <v>0</v>
      </c>
      <c r="I2" s="8">
        <f>MEDIAN(J2,L2,N2,P2,R2,T2,V29,H2,F2,D2,B2,V2)</f>
        <v>0</v>
      </c>
      <c r="J2" s="7">
        <f>IF(J3&gt;0,J3,0)</f>
        <v>0</v>
      </c>
      <c r="K2" s="9"/>
      <c r="L2" s="7">
        <f>IF(L3&gt;0,L3,0)</f>
        <v>0</v>
      </c>
      <c r="M2" s="9"/>
      <c r="N2" s="7">
        <f>IF(N3&gt;0,N3,0)</f>
        <v>0</v>
      </c>
      <c r="O2" s="9"/>
      <c r="P2" s="7">
        <f>IF(P3&gt;0,P3,0)</f>
        <v>0.01524853126</v>
      </c>
      <c r="Q2" s="9"/>
      <c r="R2" s="7">
        <f>IF(R3&gt;0,R3,0)</f>
        <v>0.0154937465</v>
      </c>
      <c r="S2" s="9"/>
      <c r="T2" s="7">
        <f>IF(T3&gt;0,T3,0)</f>
        <v>0</v>
      </c>
      <c r="U2" s="9"/>
      <c r="V2" s="7">
        <f>IF(V3&gt;0,V3,0)</f>
        <v>0</v>
      </c>
      <c r="W2" s="9"/>
      <c r="X2" s="9"/>
      <c r="Y2" s="9"/>
      <c r="Z2" s="9"/>
      <c r="AA2" s="9"/>
      <c r="AB2" s="9"/>
      <c r="AC2" s="9"/>
      <c r="AD2" s="9"/>
    </row>
    <row r="3">
      <c r="A3" s="7" t="s">
        <v>18</v>
      </c>
      <c r="B3" s="7">
        <f>B4/B5-1</f>
        <v>-0.002861230329</v>
      </c>
      <c r="C3" s="9"/>
      <c r="D3" s="7">
        <f>D4/D5-1</f>
        <v>0.01023890785</v>
      </c>
      <c r="E3" s="9"/>
      <c r="F3" s="7">
        <f>F4/F5-1</f>
        <v>0.044978435</v>
      </c>
      <c r="G3" s="9"/>
      <c r="H3" s="7">
        <f>H4/H5-1</f>
        <v>-0.001697792869</v>
      </c>
      <c r="I3" s="7" t="s">
        <v>18</v>
      </c>
      <c r="J3" s="7">
        <f>J4/J5-1</f>
        <v>-0.01895491803</v>
      </c>
      <c r="K3" s="9"/>
      <c r="L3" s="7">
        <f>L4/L5-1</f>
        <v>0</v>
      </c>
      <c r="M3" s="9"/>
      <c r="N3" s="7">
        <f>N4/N5-1</f>
        <v>-0.09569542103</v>
      </c>
      <c r="O3" s="9"/>
      <c r="P3" s="7">
        <f>P4/P5-1</f>
        <v>0.01524853126</v>
      </c>
      <c r="Q3" s="9"/>
      <c r="R3" s="7">
        <f>R4/R5-1</f>
        <v>0.0154937465</v>
      </c>
      <c r="S3" s="9"/>
      <c r="T3" s="7">
        <f>T4/T5-1</f>
        <v>-0.004658293531</v>
      </c>
      <c r="U3" s="9"/>
      <c r="V3" s="7">
        <f>V4/V5-1</f>
        <v>0</v>
      </c>
      <c r="W3" s="9"/>
      <c r="X3" s="9"/>
      <c r="Y3" s="9"/>
      <c r="Z3" s="9"/>
      <c r="AA3" s="9"/>
      <c r="AB3" s="9"/>
      <c r="AC3" s="9"/>
      <c r="AD3" s="9"/>
    </row>
    <row r="4">
      <c r="A4" s="10" t="s">
        <v>19</v>
      </c>
      <c r="B4" s="3">
        <f>B17</f>
        <v>13.94</v>
      </c>
      <c r="C4" s="3"/>
      <c r="D4" s="3">
        <f>D17</f>
        <v>23.68</v>
      </c>
      <c r="E4" s="3"/>
      <c r="F4" s="3">
        <f>F17</f>
        <v>33.92</v>
      </c>
      <c r="G4" s="3"/>
      <c r="H4" s="3">
        <f>H17</f>
        <v>41.16</v>
      </c>
      <c r="I4" s="10" t="s">
        <v>19</v>
      </c>
      <c r="J4" s="3">
        <f>J17</f>
        <v>57.45</v>
      </c>
      <c r="K4" s="3"/>
      <c r="L4" s="3">
        <f>L17</f>
        <v>47.36</v>
      </c>
      <c r="M4" s="3"/>
      <c r="N4" s="3">
        <f>N17</f>
        <v>52.73</v>
      </c>
      <c r="O4" s="3"/>
      <c r="P4" s="3">
        <f>P17</f>
        <v>76.9</v>
      </c>
      <c r="Q4" s="3"/>
      <c r="R4" s="3">
        <f>R17</f>
        <v>108.8</v>
      </c>
      <c r="S4" s="3"/>
      <c r="T4" s="3">
        <f>T17</f>
        <v>84.4</v>
      </c>
      <c r="U4" s="3"/>
      <c r="V4" s="3">
        <f>V16</f>
        <v>62.61</v>
      </c>
      <c r="W4" s="3"/>
      <c r="X4" s="3"/>
      <c r="Y4" s="3"/>
      <c r="Z4" s="3"/>
      <c r="AA4" s="3"/>
      <c r="AB4" s="3"/>
      <c r="AC4" s="3"/>
      <c r="AD4" s="3"/>
    </row>
    <row r="5">
      <c r="A5" s="10" t="s">
        <v>20</v>
      </c>
      <c r="B5" s="10">
        <f>MEDIAN(B7:B257)</f>
        <v>13.98</v>
      </c>
      <c r="C5" s="3"/>
      <c r="D5" s="10">
        <f>MEDIAN(D7:D257)</f>
        <v>23.44</v>
      </c>
      <c r="E5" s="3"/>
      <c r="F5" s="10">
        <f>MEDIAN(F7:F257)</f>
        <v>32.46</v>
      </c>
      <c r="G5" s="3"/>
      <c r="H5" s="10">
        <f>MEDIAN(H7:H257)</f>
        <v>41.23</v>
      </c>
      <c r="I5" s="10" t="s">
        <v>20</v>
      </c>
      <c r="J5" s="10">
        <f>MEDIAN(J7:J257)</f>
        <v>58.56</v>
      </c>
      <c r="K5" s="3"/>
      <c r="L5" s="10">
        <f>MEDIAN(L7:L257)</f>
        <v>47.36</v>
      </c>
      <c r="M5" s="3"/>
      <c r="N5" s="10">
        <f>MEDIAN(N7:N257)</f>
        <v>58.31</v>
      </c>
      <c r="O5" s="3"/>
      <c r="P5" s="10">
        <f>MEDIAN(P7:P257)</f>
        <v>75.745</v>
      </c>
      <c r="Q5" s="3"/>
      <c r="R5" s="10">
        <f>MEDIAN(R7:R257)</f>
        <v>107.14</v>
      </c>
      <c r="S5" s="3"/>
      <c r="T5" s="10">
        <f>MEDIAN(T7:T257)</f>
        <v>84.795</v>
      </c>
      <c r="U5" s="3"/>
      <c r="V5" s="10">
        <f>MEDIAN(V7:V257)</f>
        <v>62.61</v>
      </c>
      <c r="W5" s="3"/>
      <c r="X5" s="3"/>
      <c r="Y5" s="3"/>
      <c r="Z5" s="3"/>
      <c r="AA5" s="3"/>
      <c r="AB5" s="3"/>
      <c r="AC5" s="3"/>
      <c r="AD5" s="3"/>
    </row>
    <row r="6">
      <c r="A6" s="10" t="str">
        <f>IFERROR(__xludf.DUMMYFUNCTION("GoogleFinance(J1,""high"",DATE(2014, 3, 15),DATE(2014, 3, 31),1)"),"Date")</f>
        <v>Date</v>
      </c>
      <c r="B6" s="3" t="str">
        <f>IFERROR(__xludf.DUMMYFUNCTION("""COMPUTED_VALUE"""),"High")</f>
        <v>High</v>
      </c>
      <c r="C6" s="10" t="str">
        <f>IFERROR(__xludf.DUMMYFUNCTION("GoogleFinance(J1,""high"",DATE(2015, 3, 15),DATE(2015, 3, 31),1)"),"Date")</f>
        <v>Date</v>
      </c>
      <c r="D6" s="3" t="str">
        <f>IFERROR(__xludf.DUMMYFUNCTION("""COMPUTED_VALUE"""),"High")</f>
        <v>High</v>
      </c>
      <c r="E6" s="10" t="str">
        <f>IFERROR(__xludf.DUMMYFUNCTION("GoogleFinance(J1,""high"",DATE(2016, 3, 15),DATE(2016, 3, 31),1)"),"Date")</f>
        <v>Date</v>
      </c>
      <c r="F6" s="3" t="str">
        <f>IFERROR(__xludf.DUMMYFUNCTION("""COMPUTED_VALUE"""),"High")</f>
        <v>High</v>
      </c>
      <c r="G6" s="10" t="str">
        <f>IFERROR(__xludf.DUMMYFUNCTION("GoogleFinance(J1,""high"",DATE(2017, 3, 15),DATE(2017, 3, 31),1)"),"Date")</f>
        <v>Date</v>
      </c>
      <c r="H6" s="3" t="str">
        <f>IFERROR(__xludf.DUMMYFUNCTION("""COMPUTED_VALUE"""),"High")</f>
        <v>High</v>
      </c>
      <c r="I6" s="10" t="str">
        <f>IFERROR(__xludf.DUMMYFUNCTION("GoogleFinance(J1,""high"",DATE(2018, 3, 15),DATE(2018,3, 31),1)"),"Date")</f>
        <v>Date</v>
      </c>
      <c r="J6" s="3" t="str">
        <f>IFERROR(__xludf.DUMMYFUNCTION("""COMPUTED_VALUE"""),"High")</f>
        <v>High</v>
      </c>
      <c r="K6" s="10" t="str">
        <f>IFERROR(__xludf.DUMMYFUNCTION("GoogleFinance(J1,""high"",DATE(2019, 3, 15),DATE(2019, 3, 31),1)"),"Date")</f>
        <v>Date</v>
      </c>
      <c r="L6" s="3" t="str">
        <f>IFERROR(__xludf.DUMMYFUNCTION("""COMPUTED_VALUE"""),"High")</f>
        <v>High</v>
      </c>
      <c r="M6" s="10" t="str">
        <f>IFERROR(__xludf.DUMMYFUNCTION("GoogleFinance(J1,""high"",DATE(2020, 3, 15),DATE(2020, 3, 31),1)"),"Date")</f>
        <v>Date</v>
      </c>
      <c r="N6" s="3" t="str">
        <f>IFERROR(__xludf.DUMMYFUNCTION("""COMPUTED_VALUE"""),"High")</f>
        <v>High</v>
      </c>
      <c r="O6" s="10" t="str">
        <f>IFERROR(__xludf.DUMMYFUNCTION("GoogleFinance(J1,""high"",DATE(2021, 3, 15),DATE(2021, 3, 31),1)"),"Date")</f>
        <v>Date</v>
      </c>
      <c r="P6" s="3" t="str">
        <f>IFERROR(__xludf.DUMMYFUNCTION("""COMPUTED_VALUE"""),"High")</f>
        <v>High</v>
      </c>
      <c r="Q6" s="10" t="str">
        <f>IFERROR(__xludf.DUMMYFUNCTION("GoogleFinance(J1,""high"",DATE(2022, 3, 15),DATE(2022, 3, 31),1)"),"Date")</f>
        <v>Date</v>
      </c>
      <c r="R6" s="3" t="str">
        <f>IFERROR(__xludf.DUMMYFUNCTION("""COMPUTED_VALUE"""),"High")</f>
        <v>High</v>
      </c>
      <c r="S6" s="10" t="str">
        <f>IFERROR(__xludf.DUMMYFUNCTION("GoogleFinance(J1,""high"",DATE(2023,3, 15 ),DATE(2023, 3, 31),1)"),"Date")</f>
        <v>Date</v>
      </c>
      <c r="T6" s="3" t="str">
        <f>IFERROR(__xludf.DUMMYFUNCTION("""COMPUTED_VALUE"""),"High")</f>
        <v>High</v>
      </c>
      <c r="U6" s="10" t="str">
        <f>IFERROR(__xludf.DUMMYFUNCTION("GoogleFinance(J1,""high"",DATE(2024, 3, 15),DATE(2024, 3, 31),1)"),"Date")</f>
        <v>Date</v>
      </c>
      <c r="V6" s="3" t="str">
        <f>IFERROR(__xludf.DUMMYFUNCTION("""COMPUTED_VALUE"""),"High")</f>
        <v>High</v>
      </c>
      <c r="W6" s="3"/>
      <c r="X6" s="3"/>
      <c r="Y6" s="3"/>
      <c r="Z6" s="3"/>
      <c r="AA6" s="3"/>
      <c r="AB6" s="3"/>
      <c r="AC6" s="3"/>
      <c r="AD6" s="3"/>
    </row>
    <row r="7">
      <c r="A7" s="11">
        <f>IFERROR(__xludf.DUMMYFUNCTION("""COMPUTED_VALUE"""),41715.666666666664)</f>
        <v>41715.66667</v>
      </c>
      <c r="B7" s="3">
        <f>IFERROR(__xludf.DUMMYFUNCTION("""COMPUTED_VALUE"""),14.14)</f>
        <v>14.14</v>
      </c>
      <c r="C7" s="11">
        <f>IFERROR(__xludf.DUMMYFUNCTION("""COMPUTED_VALUE"""),42079.66666666667)</f>
        <v>42079.66667</v>
      </c>
      <c r="D7" s="3">
        <f>IFERROR(__xludf.DUMMYFUNCTION("""COMPUTED_VALUE"""),21.75)</f>
        <v>21.75</v>
      </c>
      <c r="E7" s="11">
        <f>IFERROR(__xludf.DUMMYFUNCTION("""COMPUTED_VALUE"""),42444.66666666667)</f>
        <v>42444.66667</v>
      </c>
      <c r="F7" s="3">
        <f>IFERROR(__xludf.DUMMYFUNCTION("""COMPUTED_VALUE"""),31.82)</f>
        <v>31.82</v>
      </c>
      <c r="G7" s="11">
        <f>IFERROR(__xludf.DUMMYFUNCTION("""COMPUTED_VALUE"""),42809.66666666667)</f>
        <v>42809.66667</v>
      </c>
      <c r="H7" s="3">
        <f>IFERROR(__xludf.DUMMYFUNCTION("""COMPUTED_VALUE"""),42.3)</f>
        <v>42.3</v>
      </c>
      <c r="I7" s="11">
        <f>IFERROR(__xludf.DUMMYFUNCTION("""COMPUTED_VALUE"""),43174.66666666667)</f>
        <v>43174.66667</v>
      </c>
      <c r="J7" s="3">
        <f>IFERROR(__xludf.DUMMYFUNCTION("""COMPUTED_VALUE"""),59.9)</f>
        <v>59.9</v>
      </c>
      <c r="K7" s="11">
        <f>IFERROR(__xludf.DUMMYFUNCTION("""COMPUTED_VALUE"""),43539.66666666667)</f>
        <v>43539.66667</v>
      </c>
      <c r="L7" s="3">
        <f>IFERROR(__xludf.DUMMYFUNCTION("""COMPUTED_VALUE"""),47.51)</f>
        <v>47.51</v>
      </c>
      <c r="M7" s="11">
        <f>IFERROR(__xludf.DUMMYFUNCTION("""COMPUTED_VALUE"""),43906.66666666667)</f>
        <v>43906.66667</v>
      </c>
      <c r="N7" s="3">
        <f>IFERROR(__xludf.DUMMYFUNCTION("""COMPUTED_VALUE"""),74.5)</f>
        <v>74.5</v>
      </c>
      <c r="O7" s="11">
        <f>IFERROR(__xludf.DUMMYFUNCTION("""COMPUTED_VALUE"""),44270.66666666667)</f>
        <v>44270.66667</v>
      </c>
      <c r="P7" s="3">
        <f>IFERROR(__xludf.DUMMYFUNCTION("""COMPUTED_VALUE"""),78.8)</f>
        <v>78.8</v>
      </c>
      <c r="Q7" s="12">
        <f>IFERROR(__xludf.DUMMYFUNCTION("""COMPUTED_VALUE"""),44635.66666666667)</f>
        <v>44635.66667</v>
      </c>
      <c r="R7" s="3">
        <f>IFERROR(__xludf.DUMMYFUNCTION("""COMPUTED_VALUE"""),102.26)</f>
        <v>102.26</v>
      </c>
      <c r="S7" s="12">
        <f>IFERROR(__xludf.DUMMYFUNCTION("""COMPUTED_VALUE"""),45000.66666666667)</f>
        <v>45000.66667</v>
      </c>
      <c r="T7" s="3">
        <f>IFERROR(__xludf.DUMMYFUNCTION("""COMPUTED_VALUE"""),85.89)</f>
        <v>85.89</v>
      </c>
      <c r="U7" s="12">
        <f>IFERROR(__xludf.DUMMYFUNCTION("""COMPUTED_VALUE"""),45366.66666666667)</f>
        <v>45366.66667</v>
      </c>
      <c r="V7" s="3">
        <f>IFERROR(__xludf.DUMMYFUNCTION("""COMPUTED_VALUE"""),59.02)</f>
        <v>59.02</v>
      </c>
      <c r="W7" s="3"/>
      <c r="X7" s="3"/>
      <c r="Y7" s="3"/>
      <c r="Z7" s="3"/>
      <c r="AA7" s="3"/>
      <c r="AB7" s="3"/>
      <c r="AC7" s="3"/>
      <c r="AD7" s="3"/>
    </row>
    <row r="8">
      <c r="A8" s="11">
        <f>IFERROR(__xludf.DUMMYFUNCTION("""COMPUTED_VALUE"""),41716.666666666664)</f>
        <v>41716.66667</v>
      </c>
      <c r="B8" s="3">
        <f>IFERROR(__xludf.DUMMYFUNCTION("""COMPUTED_VALUE"""),14.36)</f>
        <v>14.36</v>
      </c>
      <c r="C8" s="11">
        <f>IFERROR(__xludf.DUMMYFUNCTION("""COMPUTED_VALUE"""),42080.66666666667)</f>
        <v>42080.66667</v>
      </c>
      <c r="D8" s="3">
        <f>IFERROR(__xludf.DUMMYFUNCTION("""COMPUTED_VALUE"""),21.38)</f>
        <v>21.38</v>
      </c>
      <c r="E8" s="11">
        <f>IFERROR(__xludf.DUMMYFUNCTION("""COMPUTED_VALUE"""),42445.66666666667)</f>
        <v>42445.66667</v>
      </c>
      <c r="F8" s="3">
        <f>IFERROR(__xludf.DUMMYFUNCTION("""COMPUTED_VALUE"""),32.17)</f>
        <v>32.17</v>
      </c>
      <c r="G8" s="11">
        <f>IFERROR(__xludf.DUMMYFUNCTION("""COMPUTED_VALUE"""),42810.66666666667)</f>
        <v>42810.66667</v>
      </c>
      <c r="H8" s="3">
        <f>IFERROR(__xludf.DUMMYFUNCTION("""COMPUTED_VALUE"""),42.95)</f>
        <v>42.95</v>
      </c>
      <c r="I8" s="11">
        <f>IFERROR(__xludf.DUMMYFUNCTION("""COMPUTED_VALUE"""),43175.66666666667)</f>
        <v>43175.66667</v>
      </c>
      <c r="J8" s="3">
        <f>IFERROR(__xludf.DUMMYFUNCTION("""COMPUTED_VALUE"""),59.9)</f>
        <v>59.9</v>
      </c>
      <c r="K8" s="11">
        <f>IFERROR(__xludf.DUMMYFUNCTION("""COMPUTED_VALUE"""),43542.66666666667)</f>
        <v>43542.66667</v>
      </c>
      <c r="L8" s="3">
        <f>IFERROR(__xludf.DUMMYFUNCTION("""COMPUTED_VALUE"""),46.85)</f>
        <v>46.85</v>
      </c>
      <c r="M8" s="11">
        <f>IFERROR(__xludf.DUMMYFUNCTION("""COMPUTED_VALUE"""),43907.66666666667)</f>
        <v>43907.66667</v>
      </c>
      <c r="N8" s="3">
        <f>IFERROR(__xludf.DUMMYFUNCTION("""COMPUTED_VALUE"""),80.55)</f>
        <v>80.55</v>
      </c>
      <c r="O8" s="11">
        <f>IFERROR(__xludf.DUMMYFUNCTION("""COMPUTED_VALUE"""),44271.66666666667)</f>
        <v>44271.66667</v>
      </c>
      <c r="P8" s="3">
        <f>IFERROR(__xludf.DUMMYFUNCTION("""COMPUTED_VALUE"""),76.96)</f>
        <v>76.96</v>
      </c>
      <c r="Q8" s="12">
        <f>IFERROR(__xludf.DUMMYFUNCTION("""COMPUTED_VALUE"""),44636.66666666667)</f>
        <v>44636.66667</v>
      </c>
      <c r="R8" s="3">
        <f>IFERROR(__xludf.DUMMYFUNCTION("""COMPUTED_VALUE"""),104.59)</f>
        <v>104.59</v>
      </c>
      <c r="S8" s="12">
        <f>IFERROR(__xludf.DUMMYFUNCTION("""COMPUTED_VALUE"""),45001.66666666667)</f>
        <v>45001.66667</v>
      </c>
      <c r="T8" s="3">
        <f>IFERROR(__xludf.DUMMYFUNCTION("""COMPUTED_VALUE"""),85.28)</f>
        <v>85.28</v>
      </c>
      <c r="U8" s="12">
        <f>IFERROR(__xludf.DUMMYFUNCTION("""COMPUTED_VALUE"""),45369.66666666667)</f>
        <v>45369.66667</v>
      </c>
      <c r="V8" s="3">
        <f>IFERROR(__xludf.DUMMYFUNCTION("""COMPUTED_VALUE"""),63.05)</f>
        <v>63.05</v>
      </c>
      <c r="W8" s="3"/>
      <c r="X8" s="3"/>
      <c r="Y8" s="3"/>
      <c r="Z8" s="3"/>
      <c r="AA8" s="3"/>
      <c r="AB8" s="3"/>
      <c r="AC8" s="3"/>
      <c r="AD8" s="3"/>
    </row>
    <row r="9">
      <c r="A9" s="11">
        <f>IFERROR(__xludf.DUMMYFUNCTION("""COMPUTED_VALUE"""),41717.666666666664)</f>
        <v>41717.66667</v>
      </c>
      <c r="B9" s="3">
        <f>IFERROR(__xludf.DUMMYFUNCTION("""COMPUTED_VALUE"""),14.33)</f>
        <v>14.33</v>
      </c>
      <c r="C9" s="11">
        <f>IFERROR(__xludf.DUMMYFUNCTION("""COMPUTED_VALUE"""),42081.66666666667)</f>
        <v>42081.66667</v>
      </c>
      <c r="D9" s="3">
        <f>IFERROR(__xludf.DUMMYFUNCTION("""COMPUTED_VALUE"""),21.83)</f>
        <v>21.83</v>
      </c>
      <c r="E9" s="11">
        <f>IFERROR(__xludf.DUMMYFUNCTION("""COMPUTED_VALUE"""),42446.66666666667)</f>
        <v>42446.66667</v>
      </c>
      <c r="F9" s="3">
        <f>IFERROR(__xludf.DUMMYFUNCTION("""COMPUTED_VALUE"""),32.15)</f>
        <v>32.15</v>
      </c>
      <c r="G9" s="11">
        <f>IFERROR(__xludf.DUMMYFUNCTION("""COMPUTED_VALUE"""),42811.66666666667)</f>
        <v>42811.66667</v>
      </c>
      <c r="H9" s="3">
        <f>IFERROR(__xludf.DUMMYFUNCTION("""COMPUTED_VALUE"""),43.85)</f>
        <v>43.85</v>
      </c>
      <c r="I9" s="11">
        <f>IFERROR(__xludf.DUMMYFUNCTION("""COMPUTED_VALUE"""),43178.66666666667)</f>
        <v>43178.66667</v>
      </c>
      <c r="J9" s="3">
        <f>IFERROR(__xludf.DUMMYFUNCTION("""COMPUTED_VALUE"""),60.05)</f>
        <v>60.05</v>
      </c>
      <c r="K9" s="11">
        <f>IFERROR(__xludf.DUMMYFUNCTION("""COMPUTED_VALUE"""),43543.66666666667)</f>
        <v>43543.66667</v>
      </c>
      <c r="L9" s="3">
        <f>IFERROR(__xludf.DUMMYFUNCTION("""COMPUTED_VALUE"""),47.42)</f>
        <v>47.42</v>
      </c>
      <c r="M9" s="11">
        <f>IFERROR(__xludf.DUMMYFUNCTION("""COMPUTED_VALUE"""),43908.66666666667)</f>
        <v>43908.66667</v>
      </c>
      <c r="N9" s="3">
        <f>IFERROR(__xludf.DUMMYFUNCTION("""COMPUTED_VALUE"""),82.0)</f>
        <v>82</v>
      </c>
      <c r="O9" s="11">
        <f>IFERROR(__xludf.DUMMYFUNCTION("""COMPUTED_VALUE"""),44272.66666666667)</f>
        <v>44272.66667</v>
      </c>
      <c r="P9" s="3">
        <f>IFERROR(__xludf.DUMMYFUNCTION("""COMPUTED_VALUE"""),76.57)</f>
        <v>76.57</v>
      </c>
      <c r="Q9" s="12">
        <f>IFERROR(__xludf.DUMMYFUNCTION("""COMPUTED_VALUE"""),44637.66666666667)</f>
        <v>44637.66667</v>
      </c>
      <c r="R9" s="3">
        <f>IFERROR(__xludf.DUMMYFUNCTION("""COMPUTED_VALUE"""),107.55)</f>
        <v>107.55</v>
      </c>
      <c r="S9" s="12">
        <f>IFERROR(__xludf.DUMMYFUNCTION("""COMPUTED_VALUE"""),45002.66666666667)</f>
        <v>45002.66667</v>
      </c>
      <c r="T9" s="3">
        <f>IFERROR(__xludf.DUMMYFUNCTION("""COMPUTED_VALUE"""),85.06)</f>
        <v>85.06</v>
      </c>
      <c r="U9" s="12">
        <f>IFERROR(__xludf.DUMMYFUNCTION("""COMPUTED_VALUE"""),45370.66666666667)</f>
        <v>45370.66667</v>
      </c>
      <c r="V9" s="3">
        <f>IFERROR(__xludf.DUMMYFUNCTION("""COMPUTED_VALUE"""),66.06)</f>
        <v>66.06</v>
      </c>
      <c r="W9" s="3"/>
      <c r="X9" s="3"/>
      <c r="Y9" s="3"/>
      <c r="Z9" s="3"/>
      <c r="AA9" s="3"/>
      <c r="AB9" s="3"/>
      <c r="AC9" s="3"/>
      <c r="AD9" s="3"/>
    </row>
    <row r="10">
      <c r="A10" s="11">
        <f>IFERROR(__xludf.DUMMYFUNCTION("""COMPUTED_VALUE"""),41718.666666666664)</f>
        <v>41718.66667</v>
      </c>
      <c r="B10" s="3">
        <f>IFERROR(__xludf.DUMMYFUNCTION("""COMPUTED_VALUE"""),14.38)</f>
        <v>14.38</v>
      </c>
      <c r="C10" s="11">
        <f>IFERROR(__xludf.DUMMYFUNCTION("""COMPUTED_VALUE"""),42082.66666666667)</f>
        <v>42082.66667</v>
      </c>
      <c r="D10" s="3">
        <f>IFERROR(__xludf.DUMMYFUNCTION("""COMPUTED_VALUE"""),22.46)</f>
        <v>22.46</v>
      </c>
      <c r="E10" s="11">
        <f>IFERROR(__xludf.DUMMYFUNCTION("""COMPUTED_VALUE"""),42447.66666666667)</f>
        <v>42447.66667</v>
      </c>
      <c r="F10" s="3">
        <f>IFERROR(__xludf.DUMMYFUNCTION("""COMPUTED_VALUE"""),33.3)</f>
        <v>33.3</v>
      </c>
      <c r="G10" s="11">
        <f>IFERROR(__xludf.DUMMYFUNCTION("""COMPUTED_VALUE"""),42814.66666666667)</f>
        <v>42814.66667</v>
      </c>
      <c r="H10" s="3">
        <f>IFERROR(__xludf.DUMMYFUNCTION("""COMPUTED_VALUE"""),43.6)</f>
        <v>43.6</v>
      </c>
      <c r="I10" s="11">
        <f>IFERROR(__xludf.DUMMYFUNCTION("""COMPUTED_VALUE"""),43179.66666666667)</f>
        <v>43179.66667</v>
      </c>
      <c r="J10" s="3">
        <f>IFERROR(__xludf.DUMMYFUNCTION("""COMPUTED_VALUE"""),60.1)</f>
        <v>60.1</v>
      </c>
      <c r="K10" s="11">
        <f>IFERROR(__xludf.DUMMYFUNCTION("""COMPUTED_VALUE"""),43544.66666666667)</f>
        <v>43544.66667</v>
      </c>
      <c r="L10" s="3">
        <f>IFERROR(__xludf.DUMMYFUNCTION("""COMPUTED_VALUE"""),48.74)</f>
        <v>48.74</v>
      </c>
      <c r="M10" s="11">
        <f>IFERROR(__xludf.DUMMYFUNCTION("""COMPUTED_VALUE"""),43909.66666666667)</f>
        <v>43909.66667</v>
      </c>
      <c r="N10" s="3">
        <f>IFERROR(__xludf.DUMMYFUNCTION("""COMPUTED_VALUE"""),89.22)</f>
        <v>89.22</v>
      </c>
      <c r="O10" s="11">
        <f>IFERROR(__xludf.DUMMYFUNCTION("""COMPUTED_VALUE"""),44273.66666666667)</f>
        <v>44273.66667</v>
      </c>
      <c r="P10" s="3">
        <f>IFERROR(__xludf.DUMMYFUNCTION("""COMPUTED_VALUE"""),77.61)</f>
        <v>77.61</v>
      </c>
      <c r="Q10" s="12">
        <f>IFERROR(__xludf.DUMMYFUNCTION("""COMPUTED_VALUE"""),44638.66666666667)</f>
        <v>44638.66667</v>
      </c>
      <c r="R10" s="3">
        <f>IFERROR(__xludf.DUMMYFUNCTION("""COMPUTED_VALUE"""),107.81)</f>
        <v>107.81</v>
      </c>
      <c r="S10" s="12">
        <f>IFERROR(__xludf.DUMMYFUNCTION("""COMPUTED_VALUE"""),45005.66666666667)</f>
        <v>45005.66667</v>
      </c>
      <c r="T10" s="3">
        <f>IFERROR(__xludf.DUMMYFUNCTION("""COMPUTED_VALUE"""),85.05)</f>
        <v>85.05</v>
      </c>
      <c r="U10" s="12">
        <f>IFERROR(__xludf.DUMMYFUNCTION("""COMPUTED_VALUE"""),45371.66666666667)</f>
        <v>45371.66667</v>
      </c>
      <c r="V10" s="3">
        <f>IFERROR(__xludf.DUMMYFUNCTION("""COMPUTED_VALUE"""),66.37)</f>
        <v>66.37</v>
      </c>
      <c r="W10" s="3"/>
      <c r="X10" s="3"/>
      <c r="Y10" s="3"/>
      <c r="Z10" s="3"/>
      <c r="AA10" s="3"/>
      <c r="AB10" s="3"/>
      <c r="AC10" s="3"/>
      <c r="AD10" s="3"/>
    </row>
    <row r="11">
      <c r="A11" s="11">
        <f>IFERROR(__xludf.DUMMYFUNCTION("""COMPUTED_VALUE"""),41719.666666666664)</f>
        <v>41719.66667</v>
      </c>
      <c r="B11" s="3">
        <f>IFERROR(__xludf.DUMMYFUNCTION("""COMPUTED_VALUE"""),14.4)</f>
        <v>14.4</v>
      </c>
      <c r="C11" s="11">
        <f>IFERROR(__xludf.DUMMYFUNCTION("""COMPUTED_VALUE"""),42083.66666666667)</f>
        <v>42083.66667</v>
      </c>
      <c r="D11" s="3">
        <f>IFERROR(__xludf.DUMMYFUNCTION("""COMPUTED_VALUE"""),22.48)</f>
        <v>22.48</v>
      </c>
      <c r="E11" s="11">
        <f>IFERROR(__xludf.DUMMYFUNCTION("""COMPUTED_VALUE"""),42450.66666666667)</f>
        <v>42450.66667</v>
      </c>
      <c r="F11" s="3">
        <f>IFERROR(__xludf.DUMMYFUNCTION("""COMPUTED_VALUE"""),32.76)</f>
        <v>32.76</v>
      </c>
      <c r="G11" s="11">
        <f>IFERROR(__xludf.DUMMYFUNCTION("""COMPUTED_VALUE"""),42815.66666666667)</f>
        <v>42815.66667</v>
      </c>
      <c r="H11" s="3">
        <f>IFERROR(__xludf.DUMMYFUNCTION("""COMPUTED_VALUE"""),43.4)</f>
        <v>43.4</v>
      </c>
      <c r="I11" s="11">
        <f>IFERROR(__xludf.DUMMYFUNCTION("""COMPUTED_VALUE"""),43180.66666666667)</f>
        <v>43180.66667</v>
      </c>
      <c r="J11" s="3">
        <f>IFERROR(__xludf.DUMMYFUNCTION("""COMPUTED_VALUE"""),59.95)</f>
        <v>59.95</v>
      </c>
      <c r="K11" s="11">
        <f>IFERROR(__xludf.DUMMYFUNCTION("""COMPUTED_VALUE"""),43545.66666666667)</f>
        <v>43545.66667</v>
      </c>
      <c r="L11" s="3">
        <f>IFERROR(__xludf.DUMMYFUNCTION("""COMPUTED_VALUE"""),49.53)</f>
        <v>49.53</v>
      </c>
      <c r="M11" s="11">
        <f>IFERROR(__xludf.DUMMYFUNCTION("""COMPUTED_VALUE"""),43910.66666666667)</f>
        <v>43910.66667</v>
      </c>
      <c r="N11" s="3">
        <f>IFERROR(__xludf.DUMMYFUNCTION("""COMPUTED_VALUE"""),73.34)</f>
        <v>73.34</v>
      </c>
      <c r="O11" s="11">
        <f>IFERROR(__xludf.DUMMYFUNCTION("""COMPUTED_VALUE"""),44274.66666666667)</f>
        <v>44274.66667</v>
      </c>
      <c r="P11" s="3">
        <f>IFERROR(__xludf.DUMMYFUNCTION("""COMPUTED_VALUE"""),77.38)</f>
        <v>77.38</v>
      </c>
      <c r="Q11" s="12">
        <f>IFERROR(__xludf.DUMMYFUNCTION("""COMPUTED_VALUE"""),44641.66666666667)</f>
        <v>44641.66667</v>
      </c>
      <c r="R11" s="3">
        <f>IFERROR(__xludf.DUMMYFUNCTION("""COMPUTED_VALUE"""),108.27)</f>
        <v>108.27</v>
      </c>
      <c r="S11" s="12">
        <f>IFERROR(__xludf.DUMMYFUNCTION("""COMPUTED_VALUE"""),45006.66666666667)</f>
        <v>45006.66667</v>
      </c>
      <c r="T11" s="3">
        <f>IFERROR(__xludf.DUMMYFUNCTION("""COMPUTED_VALUE"""),86.41)</f>
        <v>86.41</v>
      </c>
      <c r="U11" s="12">
        <f>IFERROR(__xludf.DUMMYFUNCTION("""COMPUTED_VALUE"""),45372.66666666667)</f>
        <v>45372.66667</v>
      </c>
      <c r="V11" s="3">
        <f>IFERROR(__xludf.DUMMYFUNCTION("""COMPUTED_VALUE"""),67.35)</f>
        <v>67.35</v>
      </c>
      <c r="W11" s="3"/>
      <c r="X11" s="3"/>
      <c r="Y11" s="3"/>
      <c r="Z11" s="3"/>
      <c r="AA11" s="3"/>
      <c r="AB11" s="3"/>
      <c r="AC11" s="3"/>
      <c r="AD11" s="3"/>
    </row>
    <row r="12">
      <c r="A12" s="11">
        <f>IFERROR(__xludf.DUMMYFUNCTION("""COMPUTED_VALUE"""),41722.666666666664)</f>
        <v>41722.66667</v>
      </c>
      <c r="B12" s="3">
        <f>IFERROR(__xludf.DUMMYFUNCTION("""COMPUTED_VALUE"""),14.15)</f>
        <v>14.15</v>
      </c>
      <c r="C12" s="11">
        <f>IFERROR(__xludf.DUMMYFUNCTION("""COMPUTED_VALUE"""),42086.66666666667)</f>
        <v>42086.66667</v>
      </c>
      <c r="D12" s="3">
        <f>IFERROR(__xludf.DUMMYFUNCTION("""COMPUTED_VALUE"""),22.13)</f>
        <v>22.13</v>
      </c>
      <c r="E12" s="11">
        <f>IFERROR(__xludf.DUMMYFUNCTION("""COMPUTED_VALUE"""),42451.66666666667)</f>
        <v>42451.66667</v>
      </c>
      <c r="F12" s="3">
        <f>IFERROR(__xludf.DUMMYFUNCTION("""COMPUTED_VALUE"""),32.63)</f>
        <v>32.63</v>
      </c>
      <c r="G12" s="11">
        <f>IFERROR(__xludf.DUMMYFUNCTION("""COMPUTED_VALUE"""),42816.66666666667)</f>
        <v>42816.66667</v>
      </c>
      <c r="H12" s="3">
        <f>IFERROR(__xludf.DUMMYFUNCTION("""COMPUTED_VALUE"""),42.55)</f>
        <v>42.55</v>
      </c>
      <c r="I12" s="11">
        <f>IFERROR(__xludf.DUMMYFUNCTION("""COMPUTED_VALUE"""),43181.66666666667)</f>
        <v>43181.66667</v>
      </c>
      <c r="J12" s="3">
        <f>IFERROR(__xludf.DUMMYFUNCTION("""COMPUTED_VALUE"""),60.8)</f>
        <v>60.8</v>
      </c>
      <c r="K12" s="11">
        <f>IFERROR(__xludf.DUMMYFUNCTION("""COMPUTED_VALUE"""),43546.66666666667)</f>
        <v>43546.66667</v>
      </c>
      <c r="L12" s="3">
        <f>IFERROR(__xludf.DUMMYFUNCTION("""COMPUTED_VALUE"""),49.18)</f>
        <v>49.18</v>
      </c>
      <c r="M12" s="11">
        <f>IFERROR(__xludf.DUMMYFUNCTION("""COMPUTED_VALUE"""),43913.66666666667)</f>
        <v>43913.66667</v>
      </c>
      <c r="N12" s="3">
        <f>IFERROR(__xludf.DUMMYFUNCTION("""COMPUTED_VALUE"""),69.88)</f>
        <v>69.88</v>
      </c>
      <c r="O12" s="11">
        <f>IFERROR(__xludf.DUMMYFUNCTION("""COMPUTED_VALUE"""),44277.66666666667)</f>
        <v>44277.66667</v>
      </c>
      <c r="P12" s="3">
        <f>IFERROR(__xludf.DUMMYFUNCTION("""COMPUTED_VALUE"""),77.94)</f>
        <v>77.94</v>
      </c>
      <c r="Q12" s="12">
        <f>IFERROR(__xludf.DUMMYFUNCTION("""COMPUTED_VALUE"""),44642.66666666667)</f>
        <v>44642.66667</v>
      </c>
      <c r="R12" s="3">
        <f>IFERROR(__xludf.DUMMYFUNCTION("""COMPUTED_VALUE"""),106.95)</f>
        <v>106.95</v>
      </c>
      <c r="S12" s="12">
        <f>IFERROR(__xludf.DUMMYFUNCTION("""COMPUTED_VALUE"""),45007.66666666667)</f>
        <v>45007.66667</v>
      </c>
      <c r="T12" s="3">
        <f>IFERROR(__xludf.DUMMYFUNCTION("""COMPUTED_VALUE"""),85.71)</f>
        <v>85.71</v>
      </c>
      <c r="U12" s="12">
        <f>IFERROR(__xludf.DUMMYFUNCTION("""COMPUTED_VALUE"""),45373.66666666667)</f>
        <v>45373.66667</v>
      </c>
      <c r="V12" s="3">
        <f>IFERROR(__xludf.DUMMYFUNCTION("""COMPUTED_VALUE"""),67.49)</f>
        <v>67.49</v>
      </c>
      <c r="W12" s="3"/>
      <c r="X12" s="3"/>
      <c r="Y12" s="3"/>
      <c r="Z12" s="3"/>
      <c r="AA12" s="3"/>
      <c r="AB12" s="3"/>
      <c r="AC12" s="3"/>
      <c r="AD12" s="3"/>
    </row>
    <row r="13">
      <c r="A13" s="11">
        <f>IFERROR(__xludf.DUMMYFUNCTION("""COMPUTED_VALUE"""),41723.666666666664)</f>
        <v>41723.66667</v>
      </c>
      <c r="B13" s="3">
        <f>IFERROR(__xludf.DUMMYFUNCTION("""COMPUTED_VALUE"""),14.05)</f>
        <v>14.05</v>
      </c>
      <c r="C13" s="11">
        <f>IFERROR(__xludf.DUMMYFUNCTION("""COMPUTED_VALUE"""),42087.66666666667)</f>
        <v>42087.66667</v>
      </c>
      <c r="D13" s="3">
        <f>IFERROR(__xludf.DUMMYFUNCTION("""COMPUTED_VALUE"""),23.3)</f>
        <v>23.3</v>
      </c>
      <c r="E13" s="11">
        <f>IFERROR(__xludf.DUMMYFUNCTION("""COMPUTED_VALUE"""),42452.66666666667)</f>
        <v>42452.66667</v>
      </c>
      <c r="F13" s="3">
        <f>IFERROR(__xludf.DUMMYFUNCTION("""COMPUTED_VALUE"""),32.72)</f>
        <v>32.72</v>
      </c>
      <c r="G13" s="11">
        <f>IFERROR(__xludf.DUMMYFUNCTION("""COMPUTED_VALUE"""),42817.66666666667)</f>
        <v>42817.66667</v>
      </c>
      <c r="H13" s="3">
        <f>IFERROR(__xludf.DUMMYFUNCTION("""COMPUTED_VALUE"""),40.45)</f>
        <v>40.45</v>
      </c>
      <c r="I13" s="11">
        <f>IFERROR(__xludf.DUMMYFUNCTION("""COMPUTED_VALUE"""),43182.66666666667)</f>
        <v>43182.66667</v>
      </c>
      <c r="J13" s="3">
        <f>IFERROR(__xludf.DUMMYFUNCTION("""COMPUTED_VALUE"""),60.1)</f>
        <v>60.1</v>
      </c>
      <c r="K13" s="11">
        <f>IFERROR(__xludf.DUMMYFUNCTION("""COMPUTED_VALUE"""),43549.66666666667)</f>
        <v>43549.66667</v>
      </c>
      <c r="L13" s="3">
        <f>IFERROR(__xludf.DUMMYFUNCTION("""COMPUTED_VALUE"""),47.99)</f>
        <v>47.99</v>
      </c>
      <c r="M13" s="11">
        <f>IFERROR(__xludf.DUMMYFUNCTION("""COMPUTED_VALUE"""),43914.66666666667)</f>
        <v>43914.66667</v>
      </c>
      <c r="N13" s="3">
        <f>IFERROR(__xludf.DUMMYFUNCTION("""COMPUTED_VALUE"""),73.59)</f>
        <v>73.59</v>
      </c>
      <c r="O13" s="11">
        <f>IFERROR(__xludf.DUMMYFUNCTION("""COMPUTED_VALUE"""),44278.66666666667)</f>
        <v>44278.66667</v>
      </c>
      <c r="P13" s="3">
        <f>IFERROR(__xludf.DUMMYFUNCTION("""COMPUTED_VALUE"""),76.6)</f>
        <v>76.6</v>
      </c>
      <c r="Q13" s="12">
        <f>IFERROR(__xludf.DUMMYFUNCTION("""COMPUTED_VALUE"""),44643.66666666667)</f>
        <v>44643.66667</v>
      </c>
      <c r="R13" s="3">
        <f>IFERROR(__xludf.DUMMYFUNCTION("""COMPUTED_VALUE"""),106.3)</f>
        <v>106.3</v>
      </c>
      <c r="S13" s="12">
        <f>IFERROR(__xludf.DUMMYFUNCTION("""COMPUTED_VALUE"""),45008.66666666667)</f>
        <v>45008.66667</v>
      </c>
      <c r="T13" s="3">
        <f>IFERROR(__xludf.DUMMYFUNCTION("""COMPUTED_VALUE"""),84.54)</f>
        <v>84.54</v>
      </c>
      <c r="U13" s="12">
        <f>IFERROR(__xludf.DUMMYFUNCTION("""COMPUTED_VALUE"""),45376.66666666667)</f>
        <v>45376.66667</v>
      </c>
      <c r="V13" s="3">
        <f>IFERROR(__xludf.DUMMYFUNCTION("""COMPUTED_VALUE"""),64.11)</f>
        <v>64.11</v>
      </c>
      <c r="W13" s="3"/>
      <c r="X13" s="3"/>
      <c r="Y13" s="3"/>
      <c r="Z13" s="3"/>
      <c r="AA13" s="3"/>
      <c r="AB13" s="3"/>
      <c r="AC13" s="3"/>
      <c r="AD13" s="3"/>
    </row>
    <row r="14">
      <c r="A14" s="11">
        <f>IFERROR(__xludf.DUMMYFUNCTION("""COMPUTED_VALUE"""),41724.666666666664)</f>
        <v>41724.66667</v>
      </c>
      <c r="B14" s="3">
        <f>IFERROR(__xludf.DUMMYFUNCTION("""COMPUTED_VALUE"""),13.98)</f>
        <v>13.98</v>
      </c>
      <c r="C14" s="11">
        <f>IFERROR(__xludf.DUMMYFUNCTION("""COMPUTED_VALUE"""),42088.66666666667)</f>
        <v>42088.66667</v>
      </c>
      <c r="D14" s="3">
        <f>IFERROR(__xludf.DUMMYFUNCTION("""COMPUTED_VALUE"""),23.75)</f>
        <v>23.75</v>
      </c>
      <c r="E14" s="11">
        <f>IFERROR(__xludf.DUMMYFUNCTION("""COMPUTED_VALUE"""),42453.66666666667)</f>
        <v>42453.66667</v>
      </c>
      <c r="F14" s="3">
        <f>IFERROR(__xludf.DUMMYFUNCTION("""COMPUTED_VALUE"""),31.97)</f>
        <v>31.97</v>
      </c>
      <c r="G14" s="11">
        <f>IFERROR(__xludf.DUMMYFUNCTION("""COMPUTED_VALUE"""),42818.66666666667)</f>
        <v>42818.66667</v>
      </c>
      <c r="H14" s="3">
        <f>IFERROR(__xludf.DUMMYFUNCTION("""COMPUTED_VALUE"""),38.9)</f>
        <v>38.9</v>
      </c>
      <c r="I14" s="11">
        <f>IFERROR(__xludf.DUMMYFUNCTION("""COMPUTED_VALUE"""),43185.66666666667)</f>
        <v>43185.66667</v>
      </c>
      <c r="J14" s="3">
        <f>IFERROR(__xludf.DUMMYFUNCTION("""COMPUTED_VALUE"""),58.49)</f>
        <v>58.49</v>
      </c>
      <c r="K14" s="11">
        <f>IFERROR(__xludf.DUMMYFUNCTION("""COMPUTED_VALUE"""),43550.66666666667)</f>
        <v>43550.66667</v>
      </c>
      <c r="L14" s="3">
        <f>IFERROR(__xludf.DUMMYFUNCTION("""COMPUTED_VALUE"""),47.68)</f>
        <v>47.68</v>
      </c>
      <c r="M14" s="11">
        <f>IFERROR(__xludf.DUMMYFUNCTION("""COMPUTED_VALUE"""),43915.66666666667)</f>
        <v>43915.66667</v>
      </c>
      <c r="N14" s="3">
        <f>IFERROR(__xludf.DUMMYFUNCTION("""COMPUTED_VALUE"""),69.56)</f>
        <v>69.56</v>
      </c>
      <c r="O14" s="11">
        <f>IFERROR(__xludf.DUMMYFUNCTION("""COMPUTED_VALUE"""),44279.66666666667)</f>
        <v>44279.66667</v>
      </c>
      <c r="P14" s="3">
        <f>IFERROR(__xludf.DUMMYFUNCTION("""COMPUTED_VALUE"""),75.0)</f>
        <v>75</v>
      </c>
      <c r="Q14" s="12">
        <f>IFERROR(__xludf.DUMMYFUNCTION("""COMPUTED_VALUE"""),44644.66666666667)</f>
        <v>44644.66667</v>
      </c>
      <c r="R14" s="3">
        <f>IFERROR(__xludf.DUMMYFUNCTION("""COMPUTED_VALUE"""),104.24)</f>
        <v>104.24</v>
      </c>
      <c r="S14" s="12">
        <f>IFERROR(__xludf.DUMMYFUNCTION("""COMPUTED_VALUE"""),45009.66666666667)</f>
        <v>45009.66667</v>
      </c>
      <c r="T14" s="3">
        <f>IFERROR(__xludf.DUMMYFUNCTION("""COMPUTED_VALUE"""),83.94)</f>
        <v>83.94</v>
      </c>
      <c r="U14" s="12">
        <f>IFERROR(__xludf.DUMMYFUNCTION("""COMPUTED_VALUE"""),45377.66666666667)</f>
        <v>45377.66667</v>
      </c>
      <c r="V14" s="3">
        <f>IFERROR(__xludf.DUMMYFUNCTION("""COMPUTED_VALUE"""),62.75)</f>
        <v>62.75</v>
      </c>
      <c r="W14" s="3"/>
      <c r="X14" s="3"/>
      <c r="Y14" s="3"/>
      <c r="Z14" s="3"/>
      <c r="AA14" s="3"/>
      <c r="AB14" s="3"/>
      <c r="AC14" s="3"/>
      <c r="AD14" s="3"/>
    </row>
    <row r="15">
      <c r="A15" s="11">
        <f>IFERROR(__xludf.DUMMYFUNCTION("""COMPUTED_VALUE"""),41725.666666666664)</f>
        <v>41725.66667</v>
      </c>
      <c r="B15" s="3">
        <f>IFERROR(__xludf.DUMMYFUNCTION("""COMPUTED_VALUE"""),13.9)</f>
        <v>13.9</v>
      </c>
      <c r="C15" s="11">
        <f>IFERROR(__xludf.DUMMYFUNCTION("""COMPUTED_VALUE"""),42089.66666666667)</f>
        <v>42089.66667</v>
      </c>
      <c r="D15" s="3">
        <f>IFERROR(__xludf.DUMMYFUNCTION("""COMPUTED_VALUE"""),23.72)</f>
        <v>23.72</v>
      </c>
      <c r="E15" s="11">
        <f>IFERROR(__xludf.DUMMYFUNCTION("""COMPUTED_VALUE"""),42457.66666666667)</f>
        <v>42457.66667</v>
      </c>
      <c r="F15" s="3">
        <f>IFERROR(__xludf.DUMMYFUNCTION("""COMPUTED_VALUE"""),32.39)</f>
        <v>32.39</v>
      </c>
      <c r="G15" s="11">
        <f>IFERROR(__xludf.DUMMYFUNCTION("""COMPUTED_VALUE"""),42821.66666666667)</f>
        <v>42821.66667</v>
      </c>
      <c r="H15" s="3">
        <f>IFERROR(__xludf.DUMMYFUNCTION("""COMPUTED_VALUE"""),40.3)</f>
        <v>40.3</v>
      </c>
      <c r="I15" s="11">
        <f>IFERROR(__xludf.DUMMYFUNCTION("""COMPUTED_VALUE"""),43186.66666666667)</f>
        <v>43186.66667</v>
      </c>
      <c r="J15" s="3">
        <f>IFERROR(__xludf.DUMMYFUNCTION("""COMPUTED_VALUE"""),58.63)</f>
        <v>58.63</v>
      </c>
      <c r="K15" s="11">
        <f>IFERROR(__xludf.DUMMYFUNCTION("""COMPUTED_VALUE"""),43551.66666666667)</f>
        <v>43551.66667</v>
      </c>
      <c r="L15" s="3">
        <f>IFERROR(__xludf.DUMMYFUNCTION("""COMPUTED_VALUE"""),46.53)</f>
        <v>46.53</v>
      </c>
      <c r="M15" s="11">
        <f>IFERROR(__xludf.DUMMYFUNCTION("""COMPUTED_VALUE"""),43916.66666666667)</f>
        <v>43916.66667</v>
      </c>
      <c r="N15" s="3">
        <f>IFERROR(__xludf.DUMMYFUNCTION("""COMPUTED_VALUE"""),60.75)</f>
        <v>60.75</v>
      </c>
      <c r="O15" s="11">
        <f>IFERROR(__xludf.DUMMYFUNCTION("""COMPUTED_VALUE"""),44280.66666666667)</f>
        <v>44280.66667</v>
      </c>
      <c r="P15" s="3">
        <f>IFERROR(__xludf.DUMMYFUNCTION("""COMPUTED_VALUE"""),74.41)</f>
        <v>74.41</v>
      </c>
      <c r="Q15" s="11">
        <f>IFERROR(__xludf.DUMMYFUNCTION("""COMPUTED_VALUE"""),44645.66666666667)</f>
        <v>44645.66667</v>
      </c>
      <c r="R15" s="3">
        <f>IFERROR(__xludf.DUMMYFUNCTION("""COMPUTED_VALUE"""),104.26)</f>
        <v>104.26</v>
      </c>
      <c r="S15" s="12">
        <f>IFERROR(__xludf.DUMMYFUNCTION("""COMPUTED_VALUE"""),45012.66666666667)</f>
        <v>45012.66667</v>
      </c>
      <c r="T15" s="3">
        <f>IFERROR(__xludf.DUMMYFUNCTION("""COMPUTED_VALUE"""),85.71)</f>
        <v>85.71</v>
      </c>
      <c r="U15" s="12">
        <f>IFERROR(__xludf.DUMMYFUNCTION("""COMPUTED_VALUE"""),45378.66666666667)</f>
        <v>45378.66667</v>
      </c>
      <c r="V15" s="3">
        <f>IFERROR(__xludf.DUMMYFUNCTION("""COMPUTED_VALUE"""),62.14)</f>
        <v>62.14</v>
      </c>
      <c r="W15" s="3"/>
      <c r="X15" s="3"/>
      <c r="Y15" s="3"/>
      <c r="Z15" s="3"/>
      <c r="AA15" s="3"/>
      <c r="AB15" s="3"/>
      <c r="AC15" s="3"/>
      <c r="AD15" s="3"/>
    </row>
    <row r="16">
      <c r="A16" s="11">
        <f>IFERROR(__xludf.DUMMYFUNCTION("""COMPUTED_VALUE"""),41726.666666666664)</f>
        <v>41726.66667</v>
      </c>
      <c r="B16" s="3">
        <f>IFERROR(__xludf.DUMMYFUNCTION("""COMPUTED_VALUE"""),13.98)</f>
        <v>13.98</v>
      </c>
      <c r="C16" s="11">
        <f>IFERROR(__xludf.DUMMYFUNCTION("""COMPUTED_VALUE"""),42090.66666666667)</f>
        <v>42090.66667</v>
      </c>
      <c r="D16" s="3">
        <f>IFERROR(__xludf.DUMMYFUNCTION("""COMPUTED_VALUE"""),23.69)</f>
        <v>23.69</v>
      </c>
      <c r="E16" s="11">
        <f>IFERROR(__xludf.DUMMYFUNCTION("""COMPUTED_VALUE"""),42458.66666666667)</f>
        <v>42458.66667</v>
      </c>
      <c r="F16" s="3">
        <f>IFERROR(__xludf.DUMMYFUNCTION("""COMPUTED_VALUE"""),32.46)</f>
        <v>32.46</v>
      </c>
      <c r="G16" s="11">
        <f>IFERROR(__xludf.DUMMYFUNCTION("""COMPUTED_VALUE"""),42822.66666666667)</f>
        <v>42822.66667</v>
      </c>
      <c r="H16" s="3">
        <f>IFERROR(__xludf.DUMMYFUNCTION("""COMPUTED_VALUE"""),41.35)</f>
        <v>41.35</v>
      </c>
      <c r="I16" s="11">
        <f>IFERROR(__xludf.DUMMYFUNCTION("""COMPUTED_VALUE"""),43187.66666666667)</f>
        <v>43187.66667</v>
      </c>
      <c r="J16" s="3">
        <f>IFERROR(__xludf.DUMMYFUNCTION("""COMPUTED_VALUE"""),57.75)</f>
        <v>57.75</v>
      </c>
      <c r="K16" s="11">
        <f>IFERROR(__xludf.DUMMYFUNCTION("""COMPUTED_VALUE"""),43552.66666666667)</f>
        <v>43552.66667</v>
      </c>
      <c r="L16" s="3">
        <f>IFERROR(__xludf.DUMMYFUNCTION("""COMPUTED_VALUE"""),46.38)</f>
        <v>46.38</v>
      </c>
      <c r="M16" s="11">
        <f>IFERROR(__xludf.DUMMYFUNCTION("""COMPUTED_VALUE"""),43917.66666666667)</f>
        <v>43917.66667</v>
      </c>
      <c r="N16" s="3">
        <f>IFERROR(__xludf.DUMMYFUNCTION("""COMPUTED_VALUE"""),53.0)</f>
        <v>53</v>
      </c>
      <c r="O16" s="11">
        <f>IFERROR(__xludf.DUMMYFUNCTION("""COMPUTED_VALUE"""),44281.66666666667)</f>
        <v>44281.66667</v>
      </c>
      <c r="P16" s="3">
        <f>IFERROR(__xludf.DUMMYFUNCTION("""COMPUTED_VALUE"""),76.49)</f>
        <v>76.49</v>
      </c>
      <c r="Q16" s="11">
        <f>IFERROR(__xludf.DUMMYFUNCTION("""COMPUTED_VALUE"""),44648.66666666667)</f>
        <v>44648.66667</v>
      </c>
      <c r="R16" s="3">
        <f>IFERROR(__xludf.DUMMYFUNCTION("""COMPUTED_VALUE"""),105.53)</f>
        <v>105.53</v>
      </c>
      <c r="S16" s="12">
        <f>IFERROR(__xludf.DUMMYFUNCTION("""COMPUTED_VALUE"""),45013.66666666667)</f>
        <v>45013.66667</v>
      </c>
      <c r="T16" s="3">
        <f>IFERROR(__xludf.DUMMYFUNCTION("""COMPUTED_VALUE"""),85.66)</f>
        <v>85.66</v>
      </c>
      <c r="U16" s="12">
        <f>IFERROR(__xludf.DUMMYFUNCTION("""COMPUTED_VALUE"""),45379.66666666667)</f>
        <v>45379.66667</v>
      </c>
      <c r="V16" s="3">
        <f>IFERROR(__xludf.DUMMYFUNCTION("""COMPUTED_VALUE"""),62.61)</f>
        <v>62.61</v>
      </c>
      <c r="W16" s="3"/>
      <c r="X16" s="3"/>
      <c r="Y16" s="3"/>
      <c r="Z16" s="3"/>
      <c r="AA16" s="3"/>
      <c r="AB16" s="3"/>
      <c r="AC16" s="3"/>
      <c r="AD16" s="3"/>
    </row>
    <row r="17">
      <c r="A17" s="11">
        <f>IFERROR(__xludf.DUMMYFUNCTION("""COMPUTED_VALUE"""),41729.666666666664)</f>
        <v>41729.66667</v>
      </c>
      <c r="B17" s="3">
        <f>IFERROR(__xludf.DUMMYFUNCTION("""COMPUTED_VALUE"""),13.94)</f>
        <v>13.94</v>
      </c>
      <c r="C17" s="11">
        <f>IFERROR(__xludf.DUMMYFUNCTION("""COMPUTED_VALUE"""),42093.66666666667)</f>
        <v>42093.66667</v>
      </c>
      <c r="D17" s="3">
        <f>IFERROR(__xludf.DUMMYFUNCTION("""COMPUTED_VALUE"""),23.68)</f>
        <v>23.68</v>
      </c>
      <c r="E17" s="11">
        <f>IFERROR(__xludf.DUMMYFUNCTION("""COMPUTED_VALUE"""),42459.66666666667)</f>
        <v>42459.66667</v>
      </c>
      <c r="F17" s="3">
        <f>IFERROR(__xludf.DUMMYFUNCTION("""COMPUTED_VALUE"""),33.92)</f>
        <v>33.92</v>
      </c>
      <c r="G17" s="11">
        <f>IFERROR(__xludf.DUMMYFUNCTION("""COMPUTED_VALUE"""),42823.66666666667)</f>
        <v>42823.66667</v>
      </c>
      <c r="H17" s="3">
        <f>IFERROR(__xludf.DUMMYFUNCTION("""COMPUTED_VALUE"""),41.16)</f>
        <v>41.16</v>
      </c>
      <c r="I17" s="11">
        <f>IFERROR(__xludf.DUMMYFUNCTION("""COMPUTED_VALUE"""),43188.66666666667)</f>
        <v>43188.66667</v>
      </c>
      <c r="J17" s="3">
        <f>IFERROR(__xludf.DUMMYFUNCTION("""COMPUTED_VALUE"""),57.45)</f>
        <v>57.45</v>
      </c>
      <c r="K17" s="11">
        <f>IFERROR(__xludf.DUMMYFUNCTION("""COMPUTED_VALUE"""),43553.66666666667)</f>
        <v>43553.66667</v>
      </c>
      <c r="L17" s="3">
        <f>IFERROR(__xludf.DUMMYFUNCTION("""COMPUTED_VALUE"""),47.36)</f>
        <v>47.36</v>
      </c>
      <c r="M17" s="11">
        <f>IFERROR(__xludf.DUMMYFUNCTION("""COMPUTED_VALUE"""),43920.66666666667)</f>
        <v>43920.66667</v>
      </c>
      <c r="N17" s="3">
        <f>IFERROR(__xludf.DUMMYFUNCTION("""COMPUTED_VALUE"""),52.73)</f>
        <v>52.73</v>
      </c>
      <c r="O17" s="11">
        <f>IFERROR(__xludf.DUMMYFUNCTION("""COMPUTED_VALUE"""),44284.66666666667)</f>
        <v>44284.66667</v>
      </c>
      <c r="P17" s="3">
        <f>IFERROR(__xludf.DUMMYFUNCTION("""COMPUTED_VALUE"""),76.9)</f>
        <v>76.9</v>
      </c>
      <c r="Q17" s="11">
        <f>IFERROR(__xludf.DUMMYFUNCTION("""COMPUTED_VALUE"""),44649.66666666667)</f>
        <v>44649.66667</v>
      </c>
      <c r="R17" s="3">
        <f>IFERROR(__xludf.DUMMYFUNCTION("""COMPUTED_VALUE"""),108.8)</f>
        <v>108.8</v>
      </c>
      <c r="S17" s="12">
        <f>IFERROR(__xludf.DUMMYFUNCTION("""COMPUTED_VALUE"""),45014.66666666667)</f>
        <v>45014.66667</v>
      </c>
      <c r="T17" s="3">
        <f>IFERROR(__xludf.DUMMYFUNCTION("""COMPUTED_VALUE"""),84.4)</f>
        <v>84.4</v>
      </c>
      <c r="U17" s="13"/>
      <c r="V17" s="3"/>
      <c r="W17" s="3"/>
      <c r="X17" s="3"/>
      <c r="Y17" s="3"/>
      <c r="Z17" s="3"/>
      <c r="AA17" s="3"/>
      <c r="AB17" s="3"/>
      <c r="AC17" s="3"/>
      <c r="AD17" s="3"/>
    </row>
    <row r="18">
      <c r="A18" s="13"/>
      <c r="B18" s="3"/>
      <c r="C18" s="11">
        <f>IFERROR(__xludf.DUMMYFUNCTION("""COMPUTED_VALUE"""),42094.66666666667)</f>
        <v>42094.66667</v>
      </c>
      <c r="D18" s="3">
        <f>IFERROR(__xludf.DUMMYFUNCTION("""COMPUTED_VALUE"""),23.44)</f>
        <v>23.44</v>
      </c>
      <c r="E18" s="11">
        <f>IFERROR(__xludf.DUMMYFUNCTION("""COMPUTED_VALUE"""),42460.66666666667)</f>
        <v>42460.66667</v>
      </c>
      <c r="F18" s="3">
        <f>IFERROR(__xludf.DUMMYFUNCTION("""COMPUTED_VALUE"""),34.1)</f>
        <v>34.1</v>
      </c>
      <c r="G18" s="11">
        <f>IFERROR(__xludf.DUMMYFUNCTION("""COMPUTED_VALUE"""),42824.66666666667)</f>
        <v>42824.66667</v>
      </c>
      <c r="H18" s="3">
        <f>IFERROR(__xludf.DUMMYFUNCTION("""COMPUTED_VALUE"""),40.25)</f>
        <v>40.25</v>
      </c>
      <c r="I18" s="13"/>
      <c r="J18" s="3"/>
      <c r="K18" s="13"/>
      <c r="L18" s="3"/>
      <c r="M18" s="11">
        <f>IFERROR(__xludf.DUMMYFUNCTION("""COMPUTED_VALUE"""),43921.66666666667)</f>
        <v>43921.66667</v>
      </c>
      <c r="N18" s="3">
        <f>IFERROR(__xludf.DUMMYFUNCTION("""COMPUTED_VALUE"""),58.31)</f>
        <v>58.31</v>
      </c>
      <c r="O18" s="11">
        <f>IFERROR(__xludf.DUMMYFUNCTION("""COMPUTED_VALUE"""),44285.66666666667)</f>
        <v>44285.66667</v>
      </c>
      <c r="P18" s="3">
        <f>IFERROR(__xludf.DUMMYFUNCTION("""COMPUTED_VALUE"""),74.15)</f>
        <v>74.15</v>
      </c>
      <c r="Q18" s="11">
        <f>IFERROR(__xludf.DUMMYFUNCTION("""COMPUTED_VALUE"""),44650.66666666667)</f>
        <v>44650.66667</v>
      </c>
      <c r="R18" s="3">
        <f>IFERROR(__xludf.DUMMYFUNCTION("""COMPUTED_VALUE"""),107.14)</f>
        <v>107.14</v>
      </c>
      <c r="S18" s="12">
        <f>IFERROR(__xludf.DUMMYFUNCTION("""COMPUTED_VALUE"""),45015.66666666667)</f>
        <v>45015.66667</v>
      </c>
      <c r="T18" s="3">
        <f>IFERROR(__xludf.DUMMYFUNCTION("""COMPUTED_VALUE"""),84.38)</f>
        <v>84.38</v>
      </c>
      <c r="U18" s="13"/>
      <c r="V18" s="3"/>
      <c r="W18" s="3"/>
      <c r="X18" s="3"/>
      <c r="Y18" s="3"/>
      <c r="Z18" s="3"/>
      <c r="AA18" s="3"/>
      <c r="AB18" s="3"/>
      <c r="AC18" s="3"/>
      <c r="AD18" s="3"/>
    </row>
    <row r="19">
      <c r="A19" s="13"/>
      <c r="B19" s="3"/>
      <c r="C19" s="13"/>
      <c r="D19" s="3"/>
      <c r="E19" s="13"/>
      <c r="F19" s="3"/>
      <c r="G19" s="11">
        <f>IFERROR(__xludf.DUMMYFUNCTION("""COMPUTED_VALUE"""),42825.66666666667)</f>
        <v>42825.66667</v>
      </c>
      <c r="H19" s="3">
        <f>IFERROR(__xludf.DUMMYFUNCTION("""COMPUTED_VALUE"""),41.3)</f>
        <v>41.3</v>
      </c>
      <c r="I19" s="13"/>
      <c r="J19" s="3"/>
      <c r="K19" s="13"/>
      <c r="L19" s="3"/>
      <c r="M19" s="13"/>
      <c r="N19" s="3"/>
      <c r="O19" s="11">
        <f>IFERROR(__xludf.DUMMYFUNCTION("""COMPUTED_VALUE"""),44286.66666666667)</f>
        <v>44286.66667</v>
      </c>
      <c r="P19" s="3">
        <f>IFERROR(__xludf.DUMMYFUNCTION("""COMPUTED_VALUE"""),74.75)</f>
        <v>74.75</v>
      </c>
      <c r="Q19" s="11">
        <f>IFERROR(__xludf.DUMMYFUNCTION("""COMPUTED_VALUE"""),44651.66666666667)</f>
        <v>44651.66667</v>
      </c>
      <c r="R19" s="3">
        <f>IFERROR(__xludf.DUMMYFUNCTION("""COMPUTED_VALUE"""),107.85)</f>
        <v>107.85</v>
      </c>
      <c r="S19" s="12">
        <f>IFERROR(__xludf.DUMMYFUNCTION("""COMPUTED_VALUE"""),45016.66666666667)</f>
        <v>45016.66667</v>
      </c>
      <c r="T19" s="3">
        <f>IFERROR(__xludf.DUMMYFUNCTION("""COMPUTED_VALUE"""),83.32)</f>
        <v>83.32</v>
      </c>
      <c r="U19" s="13"/>
      <c r="V19" s="3"/>
      <c r="W19" s="3"/>
      <c r="X19" s="3"/>
      <c r="Y19" s="3"/>
      <c r="Z19" s="3"/>
      <c r="AA19" s="3"/>
      <c r="AB19" s="3"/>
      <c r="AC19" s="3"/>
      <c r="AD19" s="3"/>
    </row>
    <row r="20">
      <c r="A20" s="13"/>
      <c r="B20" s="3"/>
      <c r="C20" s="13"/>
      <c r="D20" s="3"/>
      <c r="E20" s="13"/>
      <c r="F20" s="3"/>
      <c r="G20" s="13"/>
      <c r="H20" s="3"/>
      <c r="I20" s="13"/>
      <c r="J20" s="3"/>
      <c r="K20" s="13"/>
      <c r="L20" s="3"/>
      <c r="M20" s="13"/>
      <c r="N20" s="3"/>
      <c r="O20" s="13"/>
      <c r="P20" s="3"/>
      <c r="Q20" s="13"/>
      <c r="R20" s="3"/>
      <c r="S20" s="13"/>
      <c r="T20" s="3"/>
      <c r="U20" s="13"/>
      <c r="V20" s="3"/>
      <c r="W20" s="3"/>
      <c r="X20" s="3"/>
      <c r="Y20" s="3"/>
      <c r="Z20" s="3"/>
      <c r="AA20" s="3"/>
      <c r="AB20" s="3"/>
      <c r="AC20" s="3"/>
      <c r="AD20" s="3"/>
    </row>
    <row r="21" ht="15.75" customHeight="1">
      <c r="A21" s="13"/>
      <c r="B21" s="3"/>
      <c r="C21" s="13"/>
      <c r="D21" s="3"/>
      <c r="E21" s="13"/>
      <c r="F21" s="3"/>
      <c r="G21" s="13"/>
      <c r="H21" s="3"/>
      <c r="I21" s="13"/>
      <c r="J21" s="3"/>
      <c r="K21" s="13"/>
      <c r="L21" s="3"/>
      <c r="M21" s="13"/>
      <c r="N21" s="3"/>
      <c r="O21" s="13"/>
      <c r="P21" s="3"/>
      <c r="Q21" s="13"/>
      <c r="R21" s="3"/>
      <c r="S21" s="13"/>
      <c r="T21" s="3"/>
      <c r="U21" s="13"/>
      <c r="V21" s="3"/>
      <c r="W21" s="3"/>
      <c r="X21" s="3"/>
      <c r="Y21" s="3"/>
      <c r="Z21" s="3"/>
      <c r="AA21" s="3"/>
      <c r="AB21" s="3"/>
      <c r="AC21" s="3"/>
      <c r="AD21" s="3"/>
    </row>
    <row r="22" ht="15.75" customHeight="1">
      <c r="A22" s="13"/>
      <c r="B22" s="3"/>
      <c r="C22" s="13"/>
      <c r="D22" s="3"/>
      <c r="E22" s="13"/>
      <c r="F22" s="3"/>
      <c r="G22" s="13"/>
      <c r="H22" s="3"/>
      <c r="I22" s="13"/>
      <c r="J22" s="3"/>
      <c r="K22" s="13"/>
      <c r="L22" s="3"/>
      <c r="M22" s="13"/>
      <c r="N22" s="3"/>
      <c r="O22" s="13"/>
      <c r="P22" s="3"/>
      <c r="Q22" s="13"/>
      <c r="R22" s="3"/>
      <c r="S22" s="13"/>
      <c r="T22" s="3"/>
      <c r="U22" s="13"/>
      <c r="V22" s="3"/>
      <c r="W22" s="3"/>
      <c r="X22" s="3"/>
      <c r="Y22" s="3"/>
      <c r="Z22" s="3"/>
      <c r="AA22" s="3"/>
      <c r="AB22" s="3"/>
      <c r="AC22" s="3"/>
      <c r="AD22" s="3"/>
    </row>
    <row r="23" ht="15.75" customHeight="1">
      <c r="A23" s="13"/>
      <c r="B23" s="3"/>
      <c r="C23" s="13"/>
      <c r="D23" s="3"/>
      <c r="E23" s="13"/>
      <c r="F23" s="3"/>
      <c r="G23" s="13"/>
      <c r="H23" s="3"/>
      <c r="I23" s="13"/>
      <c r="J23" s="3"/>
      <c r="K23" s="13"/>
      <c r="L23" s="3"/>
      <c r="M23" s="13"/>
      <c r="N23" s="3"/>
      <c r="O23" s="13"/>
      <c r="P23" s="3"/>
      <c r="Q23" s="13"/>
      <c r="R23" s="3"/>
      <c r="S23" s="13"/>
      <c r="T23" s="3"/>
      <c r="U23" s="13"/>
      <c r="V23" s="3"/>
      <c r="W23" s="3"/>
      <c r="X23" s="3"/>
      <c r="Y23" s="3"/>
      <c r="Z23" s="3"/>
      <c r="AA23" s="3"/>
      <c r="AB23" s="3"/>
      <c r="AC23" s="3"/>
      <c r="AD23" s="3"/>
    </row>
    <row r="24" ht="15.75" customHeight="1">
      <c r="A24" s="3"/>
      <c r="B24" s="3"/>
      <c r="C24" s="3"/>
      <c r="D24" s="3"/>
      <c r="E24" s="3"/>
      <c r="F24" s="3"/>
      <c r="G24" s="3"/>
      <c r="H24" s="3"/>
      <c r="I24" s="4" t="s">
        <v>17</v>
      </c>
      <c r="J24" s="5" t="str">
        <f>J1</f>
        <v>AMN</v>
      </c>
      <c r="K24" s="3"/>
      <c r="L24" s="3"/>
      <c r="M24" s="3"/>
      <c r="N24" s="3"/>
      <c r="O24" s="3"/>
      <c r="P24" s="3"/>
      <c r="Q24" s="3"/>
      <c r="R24" s="3"/>
      <c r="S24" s="3"/>
      <c r="T24" s="3"/>
      <c r="U24" s="3"/>
      <c r="V24" s="3"/>
      <c r="W24" s="3"/>
      <c r="X24" s="3"/>
      <c r="Y24" s="3"/>
      <c r="Z24" s="3"/>
      <c r="AA24" s="3"/>
      <c r="AB24" s="3"/>
      <c r="AC24" s="3"/>
      <c r="AD24" s="3"/>
    </row>
    <row r="25" ht="15.75" customHeight="1">
      <c r="A25" s="6"/>
      <c r="B25" s="7">
        <f>IF(B26&gt;0,B26,0)</f>
        <v>0</v>
      </c>
      <c r="C25" s="6"/>
      <c r="D25" s="7">
        <f>IF(D26&gt;0,D26,0)</f>
        <v>0</v>
      </c>
      <c r="E25" s="6"/>
      <c r="F25" s="7">
        <v>0.0</v>
      </c>
      <c r="G25" s="6"/>
      <c r="H25" s="7">
        <f>IF(H26&gt;0,H26,0)</f>
        <v>0</v>
      </c>
      <c r="I25" s="8">
        <f>MEDIAN(J25,L25,N25,P25,R25,T25,V52,H25,F25,D25,B25,V25)</f>
        <v>0</v>
      </c>
      <c r="J25" s="7">
        <f>IF(J26&gt;0,J26,0)</f>
        <v>0</v>
      </c>
      <c r="K25" s="9"/>
      <c r="L25" s="7">
        <f>IF(L26&gt;0,L26,0)</f>
        <v>0.02112979733</v>
      </c>
      <c r="M25" s="9"/>
      <c r="N25" s="7">
        <f>IF(N26&gt;0,N26,0)</f>
        <v>0.1058221126</v>
      </c>
      <c r="O25" s="9"/>
      <c r="P25" s="7">
        <f>IF(P26&gt;0,P26,0)</f>
        <v>0.008091706001</v>
      </c>
      <c r="Q25" s="9"/>
      <c r="R25" s="7">
        <f>IF(R26&gt;0,R26,0)</f>
        <v>0</v>
      </c>
      <c r="S25" s="9"/>
      <c r="T25" s="7">
        <f>IF(T26&gt;0,T26,0)</f>
        <v>0</v>
      </c>
      <c r="U25" s="9"/>
      <c r="V25" s="7">
        <f>IF(V26&gt;0,V26,0)</f>
        <v>0.00376753507</v>
      </c>
      <c r="W25" s="9"/>
      <c r="X25" s="9"/>
      <c r="Y25" s="9"/>
      <c r="Z25" s="9"/>
      <c r="AA25" s="9"/>
      <c r="AB25" s="9"/>
      <c r="AC25" s="9"/>
      <c r="AD25" s="9"/>
    </row>
    <row r="26" ht="15.75" customHeight="1">
      <c r="A26" s="7" t="s">
        <v>18</v>
      </c>
      <c r="B26" s="7">
        <f>B27/B28-1</f>
        <v>-0.002861230329</v>
      </c>
      <c r="C26" s="9"/>
      <c r="D26" s="7">
        <f>D27/D28-1</f>
        <v>-0.01013513514</v>
      </c>
      <c r="E26" s="9"/>
      <c r="F26" s="7">
        <f>F27/F28-1</f>
        <v>0.044978435</v>
      </c>
      <c r="G26" s="9"/>
      <c r="H26" s="7">
        <f>H27/H28-1</f>
        <v>-0.004594921403</v>
      </c>
      <c r="I26" s="7" t="s">
        <v>18</v>
      </c>
      <c r="J26" s="7">
        <f>J27/J28-1</f>
        <v>-0.005194805195</v>
      </c>
      <c r="K26" s="9"/>
      <c r="L26" s="7">
        <f>L27/L28-1</f>
        <v>0.02112979733</v>
      </c>
      <c r="M26" s="9"/>
      <c r="N26" s="7">
        <f>N27/N28-1</f>
        <v>0.1058221126</v>
      </c>
      <c r="O26" s="9"/>
      <c r="P26" s="7">
        <f>P27/P28-1</f>
        <v>0.008091706001</v>
      </c>
      <c r="Q26" s="9"/>
      <c r="R26" s="7">
        <f>R27/R28-1</f>
        <v>-0.01525735294</v>
      </c>
      <c r="S26" s="9"/>
      <c r="T26" s="7">
        <f>T27/T28-1</f>
        <v>-0.0147093159</v>
      </c>
      <c r="U26" s="9"/>
      <c r="V26" s="7">
        <f>V27/V28-1</f>
        <v>0.00376753507</v>
      </c>
      <c r="W26" s="9"/>
      <c r="X26" s="9"/>
      <c r="Y26" s="9"/>
      <c r="Z26" s="9"/>
      <c r="AA26" s="9"/>
      <c r="AB26" s="9"/>
      <c r="AC26" s="9"/>
      <c r="AD26" s="9"/>
    </row>
    <row r="27" ht="15.75" customHeight="1">
      <c r="A27" s="10" t="s">
        <v>19</v>
      </c>
      <c r="B27" s="3">
        <f>B32</f>
        <v>13.94</v>
      </c>
      <c r="C27" s="3"/>
      <c r="D27" s="3">
        <f>D32</f>
        <v>23.44</v>
      </c>
      <c r="E27" s="3"/>
      <c r="F27" s="3">
        <f>F32</f>
        <v>33.92</v>
      </c>
      <c r="G27" s="3"/>
      <c r="H27" s="3">
        <f>H32</f>
        <v>41.16</v>
      </c>
      <c r="I27" s="10" t="s">
        <v>19</v>
      </c>
      <c r="J27" s="3">
        <f>J32</f>
        <v>57.45</v>
      </c>
      <c r="K27" s="3"/>
      <c r="L27" s="3">
        <f>L32</f>
        <v>47.36</v>
      </c>
      <c r="M27" s="3"/>
      <c r="N27" s="3">
        <f>N32</f>
        <v>58.31</v>
      </c>
      <c r="O27" s="3"/>
      <c r="P27" s="3">
        <f>P32</f>
        <v>74.75</v>
      </c>
      <c r="Q27" s="3"/>
      <c r="R27" s="3">
        <f>R32</f>
        <v>107.14</v>
      </c>
      <c r="S27" s="3"/>
      <c r="T27" s="3">
        <f>T32</f>
        <v>84.4</v>
      </c>
      <c r="U27" s="3"/>
      <c r="V27" s="3">
        <f>V31</f>
        <v>62.61</v>
      </c>
      <c r="W27" s="3"/>
      <c r="X27" s="3"/>
      <c r="Y27" s="3"/>
      <c r="Z27" s="3"/>
      <c r="AA27" s="3"/>
      <c r="AB27" s="3"/>
      <c r="AC27" s="3"/>
      <c r="AD27" s="3"/>
    </row>
    <row r="28" ht="15.75" customHeight="1">
      <c r="A28" s="10" t="s">
        <v>20</v>
      </c>
      <c r="B28" s="10">
        <f>B31</f>
        <v>13.98</v>
      </c>
      <c r="C28" s="3"/>
      <c r="D28" s="10">
        <f>D31</f>
        <v>23.68</v>
      </c>
      <c r="E28" s="3"/>
      <c r="F28" s="10">
        <f>F31</f>
        <v>32.46</v>
      </c>
      <c r="G28" s="3"/>
      <c r="H28" s="10">
        <f>H31</f>
        <v>41.35</v>
      </c>
      <c r="I28" s="10" t="s">
        <v>20</v>
      </c>
      <c r="J28" s="10">
        <f>J31</f>
        <v>57.75</v>
      </c>
      <c r="K28" s="3"/>
      <c r="L28" s="10">
        <f>L31</f>
        <v>46.38</v>
      </c>
      <c r="M28" s="3"/>
      <c r="N28" s="10">
        <f>N31</f>
        <v>52.73</v>
      </c>
      <c r="O28" s="3"/>
      <c r="P28" s="10">
        <f>P31</f>
        <v>74.15</v>
      </c>
      <c r="Q28" s="3"/>
      <c r="R28" s="10">
        <f>R31</f>
        <v>108.8</v>
      </c>
      <c r="S28" s="3"/>
      <c r="T28" s="10">
        <f>T31</f>
        <v>85.66</v>
      </c>
      <c r="U28" s="3"/>
      <c r="V28" s="10">
        <f>MEDIAN(V30:V280)</f>
        <v>62.375</v>
      </c>
      <c r="W28" s="3"/>
      <c r="X28" s="3"/>
      <c r="Y28" s="3"/>
      <c r="Z28" s="3"/>
      <c r="AA28" s="3"/>
      <c r="AB28" s="3"/>
      <c r="AC28" s="3"/>
      <c r="AD28" s="3"/>
    </row>
    <row r="29" ht="15.75" customHeight="1">
      <c r="A29" s="10" t="str">
        <f>IFERROR(__xludf.DUMMYFUNCTION("GoogleFinance(J24,""high"",DATE(2014, 3, 27),DATE(2014, 3, 31),1)"),"Date")</f>
        <v>Date</v>
      </c>
      <c r="B29" s="3" t="str">
        <f>IFERROR(__xludf.DUMMYFUNCTION("""COMPUTED_VALUE"""),"High")</f>
        <v>High</v>
      </c>
      <c r="C29" s="10" t="str">
        <f>IFERROR(__xludf.DUMMYFUNCTION("GoogleFinance(J24,""high"",DATE(2015, 3, 27),DATE(2015, 3, 31),1)"),"Date")</f>
        <v>Date</v>
      </c>
      <c r="D29" s="3" t="str">
        <f>IFERROR(__xludf.DUMMYFUNCTION("""COMPUTED_VALUE"""),"High")</f>
        <v>High</v>
      </c>
      <c r="E29" s="10" t="str">
        <f>IFERROR(__xludf.DUMMYFUNCTION("GoogleFinance(J24,""high"",DATE(2016, 3, 27),DATE(2016, 3, 31),1)"),"Date")</f>
        <v>Date</v>
      </c>
      <c r="F29" s="3" t="str">
        <f>IFERROR(__xludf.DUMMYFUNCTION("""COMPUTED_VALUE"""),"High")</f>
        <v>High</v>
      </c>
      <c r="G29" s="10" t="str">
        <f>IFERROR(__xludf.DUMMYFUNCTION("GoogleFinance(J24,""high"",DATE(2017, 3, 27),DATE(2017, 3, 31),1)"),"Date")</f>
        <v>Date</v>
      </c>
      <c r="H29" s="3" t="str">
        <f>IFERROR(__xludf.DUMMYFUNCTION("""COMPUTED_VALUE"""),"High")</f>
        <v>High</v>
      </c>
      <c r="I29" s="10" t="str">
        <f>IFERROR(__xludf.DUMMYFUNCTION("GoogleFinance(J24,""high"",DATE(2018, 3, 27),DATE(2018,3, 31),1)"),"Date")</f>
        <v>Date</v>
      </c>
      <c r="J29" s="3" t="str">
        <f>IFERROR(__xludf.DUMMYFUNCTION("""COMPUTED_VALUE"""),"High")</f>
        <v>High</v>
      </c>
      <c r="K29" s="10" t="str">
        <f>IFERROR(__xludf.DUMMYFUNCTION("GoogleFinance(J24,""high"",DATE(2019, 3, 27),DATE(2019, 3, 31),1)"),"Date")</f>
        <v>Date</v>
      </c>
      <c r="L29" s="3" t="str">
        <f>IFERROR(__xludf.DUMMYFUNCTION("""COMPUTED_VALUE"""),"High")</f>
        <v>High</v>
      </c>
      <c r="M29" s="10" t="str">
        <f>IFERROR(__xludf.DUMMYFUNCTION("GoogleFinance(J24,""high"",DATE(2020, 3, 27),DATE(2020, 3, 31),1)"),"Date")</f>
        <v>Date</v>
      </c>
      <c r="N29" s="3" t="str">
        <f>IFERROR(__xludf.DUMMYFUNCTION("""COMPUTED_VALUE"""),"High")</f>
        <v>High</v>
      </c>
      <c r="O29" s="10" t="str">
        <f>IFERROR(__xludf.DUMMYFUNCTION("GoogleFinance(J24,""high"",DATE(2021, 3, 27),DATE(2021, 3, 31),1)"),"Date")</f>
        <v>Date</v>
      </c>
      <c r="P29" s="3" t="str">
        <f>IFERROR(__xludf.DUMMYFUNCTION("""COMPUTED_VALUE"""),"High")</f>
        <v>High</v>
      </c>
      <c r="Q29" s="10" t="str">
        <f>IFERROR(__xludf.DUMMYFUNCTION("GoogleFinance(J24,""high"",DATE(2022, 3, 27),DATE(2022, 3, 31),1)"),"Date")</f>
        <v>Date</v>
      </c>
      <c r="R29" s="3" t="str">
        <f>IFERROR(__xludf.DUMMYFUNCTION("""COMPUTED_VALUE"""),"High")</f>
        <v>High</v>
      </c>
      <c r="S29" s="10" t="str">
        <f>IFERROR(__xludf.DUMMYFUNCTION("GoogleFinance(J24,""high"",DATE(2023,3, 27 ),DATE(2023, 3, 31),1)"),"Date")</f>
        <v>Date</v>
      </c>
      <c r="T29" s="3" t="str">
        <f>IFERROR(__xludf.DUMMYFUNCTION("""COMPUTED_VALUE"""),"High")</f>
        <v>High</v>
      </c>
      <c r="U29" s="10" t="str">
        <f>IFERROR(__xludf.DUMMYFUNCTION("GoogleFinance(J24,""high"",DATE(2024, 3, 27),DATE(2024, 3, 31),1)"),"Date")</f>
        <v>Date</v>
      </c>
      <c r="V29" s="3" t="str">
        <f>IFERROR(__xludf.DUMMYFUNCTION("""COMPUTED_VALUE"""),"High")</f>
        <v>High</v>
      </c>
      <c r="W29" s="3"/>
      <c r="X29" s="3"/>
      <c r="Y29" s="3"/>
      <c r="Z29" s="3"/>
      <c r="AA29" s="3"/>
      <c r="AB29" s="3"/>
      <c r="AC29" s="3"/>
      <c r="AD29" s="3"/>
    </row>
    <row r="30" ht="15.75" customHeight="1">
      <c r="A30" s="11">
        <f>IFERROR(__xludf.DUMMYFUNCTION("""COMPUTED_VALUE"""),41725.666666666664)</f>
        <v>41725.66667</v>
      </c>
      <c r="B30" s="3">
        <f>IFERROR(__xludf.DUMMYFUNCTION("""COMPUTED_VALUE"""),13.9)</f>
        <v>13.9</v>
      </c>
      <c r="C30" s="11">
        <f>IFERROR(__xludf.DUMMYFUNCTION("""COMPUTED_VALUE"""),42090.66666666667)</f>
        <v>42090.66667</v>
      </c>
      <c r="D30" s="3">
        <f>IFERROR(__xludf.DUMMYFUNCTION("""COMPUTED_VALUE"""),23.69)</f>
        <v>23.69</v>
      </c>
      <c r="E30" s="11">
        <f>IFERROR(__xludf.DUMMYFUNCTION("""COMPUTED_VALUE"""),42457.66666666667)</f>
        <v>42457.66667</v>
      </c>
      <c r="F30" s="3">
        <f>IFERROR(__xludf.DUMMYFUNCTION("""COMPUTED_VALUE"""),32.39)</f>
        <v>32.39</v>
      </c>
      <c r="G30" s="11">
        <f>IFERROR(__xludf.DUMMYFUNCTION("""COMPUTED_VALUE"""),42821.66666666667)</f>
        <v>42821.66667</v>
      </c>
      <c r="H30" s="3">
        <f>IFERROR(__xludf.DUMMYFUNCTION("""COMPUTED_VALUE"""),40.3)</f>
        <v>40.3</v>
      </c>
      <c r="I30" s="11">
        <f>IFERROR(__xludf.DUMMYFUNCTION("""COMPUTED_VALUE"""),43186.66666666667)</f>
        <v>43186.66667</v>
      </c>
      <c r="J30" s="3">
        <f>IFERROR(__xludf.DUMMYFUNCTION("""COMPUTED_VALUE"""),58.63)</f>
        <v>58.63</v>
      </c>
      <c r="K30" s="11">
        <f>IFERROR(__xludf.DUMMYFUNCTION("""COMPUTED_VALUE"""),43551.66666666667)</f>
        <v>43551.66667</v>
      </c>
      <c r="L30" s="3">
        <f>IFERROR(__xludf.DUMMYFUNCTION("""COMPUTED_VALUE"""),46.53)</f>
        <v>46.53</v>
      </c>
      <c r="M30" s="11">
        <f>IFERROR(__xludf.DUMMYFUNCTION("""COMPUTED_VALUE"""),43917.66666666667)</f>
        <v>43917.66667</v>
      </c>
      <c r="N30" s="3">
        <f>IFERROR(__xludf.DUMMYFUNCTION("""COMPUTED_VALUE"""),53.0)</f>
        <v>53</v>
      </c>
      <c r="O30" s="11">
        <f>IFERROR(__xludf.DUMMYFUNCTION("""COMPUTED_VALUE"""),44284.66666666667)</f>
        <v>44284.66667</v>
      </c>
      <c r="P30" s="3">
        <f>IFERROR(__xludf.DUMMYFUNCTION("""COMPUTED_VALUE"""),76.9)</f>
        <v>76.9</v>
      </c>
      <c r="Q30" s="12">
        <f>IFERROR(__xludf.DUMMYFUNCTION("""COMPUTED_VALUE"""),44648.66666666667)</f>
        <v>44648.66667</v>
      </c>
      <c r="R30" s="3">
        <f>IFERROR(__xludf.DUMMYFUNCTION("""COMPUTED_VALUE"""),105.53)</f>
        <v>105.53</v>
      </c>
      <c r="S30" s="12">
        <f>IFERROR(__xludf.DUMMYFUNCTION("""COMPUTED_VALUE"""),45012.66666666667)</f>
        <v>45012.66667</v>
      </c>
      <c r="T30" s="3">
        <f>IFERROR(__xludf.DUMMYFUNCTION("""COMPUTED_VALUE"""),85.71)</f>
        <v>85.71</v>
      </c>
      <c r="U30" s="12">
        <f>IFERROR(__xludf.DUMMYFUNCTION("""COMPUTED_VALUE"""),45378.66666666667)</f>
        <v>45378.66667</v>
      </c>
      <c r="V30" s="3">
        <f>IFERROR(__xludf.DUMMYFUNCTION("""COMPUTED_VALUE"""),62.14)</f>
        <v>62.14</v>
      </c>
      <c r="W30" s="3"/>
      <c r="X30" s="3"/>
      <c r="Y30" s="3"/>
      <c r="Z30" s="3"/>
      <c r="AA30" s="3"/>
      <c r="AB30" s="3"/>
      <c r="AC30" s="3"/>
      <c r="AD30" s="3"/>
    </row>
    <row r="31" ht="15.75" customHeight="1">
      <c r="A31" s="11">
        <f>IFERROR(__xludf.DUMMYFUNCTION("""COMPUTED_VALUE"""),41726.666666666664)</f>
        <v>41726.66667</v>
      </c>
      <c r="B31" s="3">
        <f>IFERROR(__xludf.DUMMYFUNCTION("""COMPUTED_VALUE"""),13.98)</f>
        <v>13.98</v>
      </c>
      <c r="C31" s="11">
        <f>IFERROR(__xludf.DUMMYFUNCTION("""COMPUTED_VALUE"""),42093.66666666667)</f>
        <v>42093.66667</v>
      </c>
      <c r="D31" s="3">
        <f>IFERROR(__xludf.DUMMYFUNCTION("""COMPUTED_VALUE"""),23.68)</f>
        <v>23.68</v>
      </c>
      <c r="E31" s="11">
        <f>IFERROR(__xludf.DUMMYFUNCTION("""COMPUTED_VALUE"""),42458.66666666667)</f>
        <v>42458.66667</v>
      </c>
      <c r="F31" s="3">
        <f>IFERROR(__xludf.DUMMYFUNCTION("""COMPUTED_VALUE"""),32.46)</f>
        <v>32.46</v>
      </c>
      <c r="G31" s="11">
        <f>IFERROR(__xludf.DUMMYFUNCTION("""COMPUTED_VALUE"""),42822.66666666667)</f>
        <v>42822.66667</v>
      </c>
      <c r="H31" s="3">
        <f>IFERROR(__xludf.DUMMYFUNCTION("""COMPUTED_VALUE"""),41.35)</f>
        <v>41.35</v>
      </c>
      <c r="I31" s="11">
        <f>IFERROR(__xludf.DUMMYFUNCTION("""COMPUTED_VALUE"""),43187.66666666667)</f>
        <v>43187.66667</v>
      </c>
      <c r="J31" s="3">
        <f>IFERROR(__xludf.DUMMYFUNCTION("""COMPUTED_VALUE"""),57.75)</f>
        <v>57.75</v>
      </c>
      <c r="K31" s="11">
        <f>IFERROR(__xludf.DUMMYFUNCTION("""COMPUTED_VALUE"""),43552.66666666667)</f>
        <v>43552.66667</v>
      </c>
      <c r="L31" s="3">
        <f>IFERROR(__xludf.DUMMYFUNCTION("""COMPUTED_VALUE"""),46.38)</f>
        <v>46.38</v>
      </c>
      <c r="M31" s="11">
        <f>IFERROR(__xludf.DUMMYFUNCTION("""COMPUTED_VALUE"""),43920.66666666667)</f>
        <v>43920.66667</v>
      </c>
      <c r="N31" s="3">
        <f>IFERROR(__xludf.DUMMYFUNCTION("""COMPUTED_VALUE"""),52.73)</f>
        <v>52.73</v>
      </c>
      <c r="O31" s="11">
        <f>IFERROR(__xludf.DUMMYFUNCTION("""COMPUTED_VALUE"""),44285.66666666667)</f>
        <v>44285.66667</v>
      </c>
      <c r="P31" s="3">
        <f>IFERROR(__xludf.DUMMYFUNCTION("""COMPUTED_VALUE"""),74.15)</f>
        <v>74.15</v>
      </c>
      <c r="Q31" s="12">
        <f>IFERROR(__xludf.DUMMYFUNCTION("""COMPUTED_VALUE"""),44649.66666666667)</f>
        <v>44649.66667</v>
      </c>
      <c r="R31" s="3">
        <f>IFERROR(__xludf.DUMMYFUNCTION("""COMPUTED_VALUE"""),108.8)</f>
        <v>108.8</v>
      </c>
      <c r="S31" s="12">
        <f>IFERROR(__xludf.DUMMYFUNCTION("""COMPUTED_VALUE"""),45013.66666666667)</f>
        <v>45013.66667</v>
      </c>
      <c r="T31" s="3">
        <f>IFERROR(__xludf.DUMMYFUNCTION("""COMPUTED_VALUE"""),85.66)</f>
        <v>85.66</v>
      </c>
      <c r="U31" s="12">
        <f>IFERROR(__xludf.DUMMYFUNCTION("""COMPUTED_VALUE"""),45379.66666666667)</f>
        <v>45379.66667</v>
      </c>
      <c r="V31" s="3">
        <f>IFERROR(__xludf.DUMMYFUNCTION("""COMPUTED_VALUE"""),62.61)</f>
        <v>62.61</v>
      </c>
      <c r="W31" s="3"/>
      <c r="X31" s="3"/>
      <c r="Y31" s="3"/>
      <c r="Z31" s="3"/>
      <c r="AA31" s="3"/>
      <c r="AB31" s="3"/>
      <c r="AC31" s="3"/>
      <c r="AD31" s="3"/>
    </row>
    <row r="32" ht="15.75" customHeight="1">
      <c r="A32" s="11">
        <f>IFERROR(__xludf.DUMMYFUNCTION("""COMPUTED_VALUE"""),41729.666666666664)</f>
        <v>41729.66667</v>
      </c>
      <c r="B32" s="3">
        <f>IFERROR(__xludf.DUMMYFUNCTION("""COMPUTED_VALUE"""),13.94)</f>
        <v>13.94</v>
      </c>
      <c r="C32" s="11">
        <f>IFERROR(__xludf.DUMMYFUNCTION("""COMPUTED_VALUE"""),42094.66666666667)</f>
        <v>42094.66667</v>
      </c>
      <c r="D32" s="3">
        <f>IFERROR(__xludf.DUMMYFUNCTION("""COMPUTED_VALUE"""),23.44)</f>
        <v>23.44</v>
      </c>
      <c r="E32" s="11">
        <f>IFERROR(__xludf.DUMMYFUNCTION("""COMPUTED_VALUE"""),42459.66666666667)</f>
        <v>42459.66667</v>
      </c>
      <c r="F32" s="3">
        <f>IFERROR(__xludf.DUMMYFUNCTION("""COMPUTED_VALUE"""),33.92)</f>
        <v>33.92</v>
      </c>
      <c r="G32" s="11">
        <f>IFERROR(__xludf.DUMMYFUNCTION("""COMPUTED_VALUE"""),42823.66666666667)</f>
        <v>42823.66667</v>
      </c>
      <c r="H32" s="3">
        <f>IFERROR(__xludf.DUMMYFUNCTION("""COMPUTED_VALUE"""),41.16)</f>
        <v>41.16</v>
      </c>
      <c r="I32" s="11">
        <f>IFERROR(__xludf.DUMMYFUNCTION("""COMPUTED_VALUE"""),43188.66666666667)</f>
        <v>43188.66667</v>
      </c>
      <c r="J32" s="3">
        <f>IFERROR(__xludf.DUMMYFUNCTION("""COMPUTED_VALUE"""),57.45)</f>
        <v>57.45</v>
      </c>
      <c r="K32" s="11">
        <f>IFERROR(__xludf.DUMMYFUNCTION("""COMPUTED_VALUE"""),43553.66666666667)</f>
        <v>43553.66667</v>
      </c>
      <c r="L32" s="3">
        <f>IFERROR(__xludf.DUMMYFUNCTION("""COMPUTED_VALUE"""),47.36)</f>
        <v>47.36</v>
      </c>
      <c r="M32" s="11">
        <f>IFERROR(__xludf.DUMMYFUNCTION("""COMPUTED_VALUE"""),43921.66666666667)</f>
        <v>43921.66667</v>
      </c>
      <c r="N32" s="3">
        <f>IFERROR(__xludf.DUMMYFUNCTION("""COMPUTED_VALUE"""),58.31)</f>
        <v>58.31</v>
      </c>
      <c r="O32" s="11">
        <f>IFERROR(__xludf.DUMMYFUNCTION("""COMPUTED_VALUE"""),44286.66666666667)</f>
        <v>44286.66667</v>
      </c>
      <c r="P32" s="3">
        <f>IFERROR(__xludf.DUMMYFUNCTION("""COMPUTED_VALUE"""),74.75)</f>
        <v>74.75</v>
      </c>
      <c r="Q32" s="12">
        <f>IFERROR(__xludf.DUMMYFUNCTION("""COMPUTED_VALUE"""),44650.66666666667)</f>
        <v>44650.66667</v>
      </c>
      <c r="R32" s="3">
        <f>IFERROR(__xludf.DUMMYFUNCTION("""COMPUTED_VALUE"""),107.14)</f>
        <v>107.14</v>
      </c>
      <c r="S32" s="12">
        <f>IFERROR(__xludf.DUMMYFUNCTION("""COMPUTED_VALUE"""),45014.66666666667)</f>
        <v>45014.66667</v>
      </c>
      <c r="T32" s="3">
        <f>IFERROR(__xludf.DUMMYFUNCTION("""COMPUTED_VALUE"""),84.4)</f>
        <v>84.4</v>
      </c>
      <c r="U32" s="13"/>
      <c r="V32" s="3"/>
      <c r="W32" s="3"/>
      <c r="X32" s="3"/>
      <c r="Y32" s="3"/>
      <c r="Z32" s="3"/>
      <c r="AA32" s="3"/>
      <c r="AB32" s="3"/>
      <c r="AC32" s="3"/>
      <c r="AD32" s="3"/>
    </row>
    <row r="33" ht="15.75" customHeight="1">
      <c r="A33" s="13"/>
      <c r="B33" s="3"/>
      <c r="C33" s="13"/>
      <c r="D33" s="3"/>
      <c r="E33" s="11">
        <f>IFERROR(__xludf.DUMMYFUNCTION("""COMPUTED_VALUE"""),42460.66666666667)</f>
        <v>42460.66667</v>
      </c>
      <c r="F33" s="3">
        <f>IFERROR(__xludf.DUMMYFUNCTION("""COMPUTED_VALUE"""),34.1)</f>
        <v>34.1</v>
      </c>
      <c r="G33" s="11">
        <f>IFERROR(__xludf.DUMMYFUNCTION("""COMPUTED_VALUE"""),42824.66666666667)</f>
        <v>42824.66667</v>
      </c>
      <c r="H33" s="3">
        <f>IFERROR(__xludf.DUMMYFUNCTION("""COMPUTED_VALUE"""),40.25)</f>
        <v>40.25</v>
      </c>
      <c r="I33" s="13"/>
      <c r="J33" s="3"/>
      <c r="K33" s="13"/>
      <c r="L33" s="3"/>
      <c r="M33" s="13"/>
      <c r="N33" s="3"/>
      <c r="O33" s="13"/>
      <c r="P33" s="3"/>
      <c r="Q33" s="12">
        <f>IFERROR(__xludf.DUMMYFUNCTION("""COMPUTED_VALUE"""),44651.66666666667)</f>
        <v>44651.66667</v>
      </c>
      <c r="R33" s="3">
        <f>IFERROR(__xludf.DUMMYFUNCTION("""COMPUTED_VALUE"""),107.85)</f>
        <v>107.85</v>
      </c>
      <c r="S33" s="12">
        <f>IFERROR(__xludf.DUMMYFUNCTION("""COMPUTED_VALUE"""),45015.66666666667)</f>
        <v>45015.66667</v>
      </c>
      <c r="T33" s="3">
        <f>IFERROR(__xludf.DUMMYFUNCTION("""COMPUTED_VALUE"""),84.38)</f>
        <v>84.38</v>
      </c>
      <c r="U33" s="13"/>
      <c r="V33" s="3"/>
      <c r="W33" s="3"/>
      <c r="X33" s="3"/>
      <c r="Y33" s="3"/>
      <c r="Z33" s="3"/>
      <c r="AA33" s="3"/>
      <c r="AB33" s="3"/>
      <c r="AC33" s="3"/>
      <c r="AD33" s="3"/>
    </row>
    <row r="34" ht="15.75" customHeight="1">
      <c r="A34" s="13"/>
      <c r="B34" s="3"/>
      <c r="C34" s="13"/>
      <c r="D34" s="3"/>
      <c r="E34" s="13"/>
      <c r="F34" s="3"/>
      <c r="G34" s="11">
        <f>IFERROR(__xludf.DUMMYFUNCTION("""COMPUTED_VALUE"""),42825.66666666667)</f>
        <v>42825.66667</v>
      </c>
      <c r="H34" s="3">
        <f>IFERROR(__xludf.DUMMYFUNCTION("""COMPUTED_VALUE"""),41.3)</f>
        <v>41.3</v>
      </c>
      <c r="I34" s="13"/>
      <c r="J34" s="3"/>
      <c r="K34" s="13"/>
      <c r="L34" s="3"/>
      <c r="M34" s="13"/>
      <c r="N34" s="3"/>
      <c r="O34" s="13"/>
      <c r="P34" s="3"/>
      <c r="Q34" s="13"/>
      <c r="R34" s="3"/>
      <c r="S34" s="12">
        <f>IFERROR(__xludf.DUMMYFUNCTION("""COMPUTED_VALUE"""),45016.66666666667)</f>
        <v>45016.66667</v>
      </c>
      <c r="T34" s="3">
        <f>IFERROR(__xludf.DUMMYFUNCTION("""COMPUTED_VALUE"""),83.32)</f>
        <v>83.32</v>
      </c>
      <c r="U34" s="13"/>
      <c r="V34" s="3"/>
      <c r="W34" s="3"/>
      <c r="X34" s="3"/>
      <c r="Y34" s="3"/>
      <c r="Z34" s="3"/>
      <c r="AA34" s="3"/>
      <c r="AB34" s="3"/>
      <c r="AC34" s="3"/>
      <c r="AD34" s="3"/>
    </row>
    <row r="35" ht="15.75" customHeight="1">
      <c r="A35" s="13"/>
      <c r="B35" s="3"/>
      <c r="C35" s="13"/>
      <c r="D35" s="3"/>
      <c r="E35" s="13"/>
      <c r="F35" s="3"/>
      <c r="G35" s="13"/>
      <c r="H35" s="3"/>
      <c r="I35" s="13"/>
      <c r="J35" s="3"/>
      <c r="K35" s="13"/>
      <c r="L35" s="3"/>
      <c r="M35" s="13"/>
      <c r="N35" s="3"/>
      <c r="O35" s="13"/>
      <c r="P35" s="3"/>
      <c r="Q35" s="13"/>
      <c r="R35" s="3"/>
      <c r="S35" s="13"/>
      <c r="T35" s="3"/>
      <c r="U35" s="13"/>
      <c r="V35" s="3"/>
      <c r="W35" s="3"/>
      <c r="X35" s="3"/>
      <c r="Y35" s="3"/>
      <c r="Z35" s="3"/>
      <c r="AA35" s="3"/>
      <c r="AB35" s="3"/>
      <c r="AC35" s="3"/>
      <c r="AD35" s="3"/>
    </row>
    <row r="36" ht="15.75" customHeight="1">
      <c r="A36" s="13"/>
      <c r="B36" s="3"/>
      <c r="C36" s="13"/>
      <c r="D36" s="3"/>
      <c r="E36" s="13"/>
      <c r="F36" s="3"/>
      <c r="G36" s="13"/>
      <c r="H36" s="3"/>
      <c r="I36" s="13"/>
      <c r="J36" s="3"/>
      <c r="K36" s="13"/>
      <c r="L36" s="3"/>
      <c r="M36" s="13"/>
      <c r="N36" s="3"/>
      <c r="O36" s="13"/>
      <c r="P36" s="3"/>
      <c r="Q36" s="13"/>
      <c r="R36" s="3"/>
      <c r="S36" s="13"/>
      <c r="T36" s="3"/>
      <c r="U36" s="13"/>
      <c r="V36" s="3"/>
      <c r="W36" s="3"/>
      <c r="X36" s="3"/>
      <c r="Y36" s="3"/>
      <c r="Z36" s="3"/>
      <c r="AA36" s="3"/>
      <c r="AB36" s="3"/>
      <c r="AC36" s="3"/>
      <c r="AD36" s="3"/>
    </row>
    <row r="37" ht="15.75" customHeight="1">
      <c r="A37" s="13"/>
      <c r="B37" s="3"/>
      <c r="C37" s="13"/>
      <c r="D37" s="3"/>
      <c r="E37" s="13"/>
      <c r="F37" s="3"/>
      <c r="G37" s="13"/>
      <c r="H37" s="3"/>
      <c r="I37" s="13"/>
      <c r="J37" s="3"/>
      <c r="K37" s="13"/>
      <c r="L37" s="3"/>
      <c r="M37" s="13"/>
      <c r="N37" s="3"/>
      <c r="O37" s="13"/>
      <c r="P37" s="3"/>
      <c r="Q37" s="13"/>
      <c r="R37" s="3"/>
      <c r="S37" s="13"/>
      <c r="T37" s="3"/>
      <c r="U37" s="13"/>
      <c r="V37" s="3"/>
      <c r="W37" s="3"/>
      <c r="X37" s="3"/>
      <c r="Y37" s="3"/>
      <c r="Z37" s="3"/>
      <c r="AA37" s="3"/>
      <c r="AB37" s="3"/>
      <c r="AC37" s="3"/>
      <c r="AD37" s="3"/>
    </row>
    <row r="38" ht="15.75" customHeight="1">
      <c r="A38" s="13"/>
      <c r="B38" s="3"/>
      <c r="C38" s="13"/>
      <c r="D38" s="3"/>
      <c r="E38" s="13"/>
      <c r="F38" s="3"/>
      <c r="G38" s="13"/>
      <c r="H38" s="3"/>
      <c r="I38" s="13"/>
      <c r="J38" s="3"/>
      <c r="K38" s="13"/>
      <c r="L38" s="3"/>
      <c r="M38" s="13"/>
      <c r="N38" s="3"/>
      <c r="O38" s="13"/>
      <c r="P38" s="3"/>
      <c r="Q38" s="13"/>
      <c r="R38" s="3"/>
      <c r="S38" s="13"/>
      <c r="T38" s="3"/>
      <c r="U38" s="13"/>
      <c r="V38" s="3"/>
      <c r="W38" s="3"/>
      <c r="X38" s="3"/>
      <c r="Y38" s="3"/>
      <c r="Z38" s="3"/>
      <c r="AA38" s="3"/>
      <c r="AB38" s="3"/>
      <c r="AC38" s="3"/>
      <c r="AD38" s="3"/>
    </row>
    <row r="39" ht="15.75" customHeight="1">
      <c r="A39" s="13"/>
      <c r="B39" s="3"/>
      <c r="C39" s="13"/>
      <c r="D39" s="3"/>
      <c r="E39" s="13"/>
      <c r="F39" s="3"/>
      <c r="G39" s="13"/>
      <c r="H39" s="3"/>
      <c r="I39" s="13"/>
      <c r="J39" s="3"/>
      <c r="K39" s="13"/>
      <c r="L39" s="3"/>
      <c r="M39" s="13"/>
      <c r="N39" s="3"/>
      <c r="O39" s="13"/>
      <c r="P39" s="3"/>
      <c r="Q39" s="13"/>
      <c r="R39" s="3"/>
      <c r="S39" s="13"/>
      <c r="T39" s="3"/>
      <c r="U39" s="13"/>
      <c r="V39" s="3"/>
      <c r="W39" s="3"/>
      <c r="X39" s="3"/>
      <c r="Y39" s="3"/>
      <c r="Z39" s="3"/>
      <c r="AA39" s="3"/>
      <c r="AB39" s="3"/>
      <c r="AC39" s="3"/>
      <c r="AD39" s="3"/>
    </row>
    <row r="40" ht="15.75" customHeight="1">
      <c r="A40" s="13"/>
      <c r="B40" s="3"/>
      <c r="C40" s="13"/>
      <c r="D40" s="3"/>
      <c r="E40" s="13"/>
      <c r="F40" s="3"/>
      <c r="G40" s="13"/>
      <c r="H40" s="3"/>
      <c r="I40" s="13"/>
      <c r="J40" s="3"/>
      <c r="K40" s="13"/>
      <c r="L40" s="3"/>
      <c r="M40" s="13"/>
      <c r="N40" s="3"/>
      <c r="O40" s="13"/>
      <c r="P40" s="3"/>
      <c r="Q40" s="13"/>
      <c r="R40" s="3"/>
      <c r="S40" s="13"/>
      <c r="T40" s="3"/>
      <c r="U40" s="13"/>
      <c r="V40" s="3"/>
      <c r="W40" s="3"/>
      <c r="X40" s="3"/>
      <c r="Y40" s="3"/>
      <c r="Z40" s="3"/>
      <c r="AA40" s="3"/>
      <c r="AB40" s="3"/>
      <c r="AC40" s="3"/>
      <c r="AD40" s="3"/>
    </row>
    <row r="41" ht="15.75" customHeight="1">
      <c r="A41" s="13"/>
      <c r="B41" s="3"/>
      <c r="C41" s="13"/>
      <c r="D41" s="3"/>
      <c r="E41" s="13"/>
      <c r="F41" s="3"/>
      <c r="G41" s="13"/>
      <c r="H41" s="3"/>
      <c r="I41" s="13"/>
      <c r="J41" s="3"/>
      <c r="K41" s="13"/>
      <c r="L41" s="3"/>
      <c r="M41" s="13"/>
      <c r="N41" s="3"/>
      <c r="O41" s="13"/>
      <c r="P41" s="3"/>
      <c r="Q41" s="13"/>
      <c r="R41" s="3"/>
      <c r="S41" s="13"/>
      <c r="T41" s="3"/>
      <c r="U41" s="13"/>
      <c r="V41" s="3"/>
      <c r="W41" s="3"/>
      <c r="X41" s="3"/>
      <c r="Y41" s="3"/>
      <c r="Z41" s="3"/>
      <c r="AA41" s="3"/>
      <c r="AB41" s="3"/>
      <c r="AC41" s="3"/>
      <c r="AD41" s="3"/>
    </row>
    <row r="42" ht="15.75" customHeight="1">
      <c r="A42" s="13"/>
      <c r="B42" s="3"/>
      <c r="C42" s="13"/>
      <c r="D42" s="3"/>
      <c r="E42" s="13"/>
      <c r="F42" s="3"/>
      <c r="G42" s="13"/>
      <c r="H42" s="3"/>
      <c r="I42" s="13"/>
      <c r="J42" s="3"/>
      <c r="K42" s="13"/>
      <c r="L42" s="3"/>
      <c r="M42" s="13"/>
      <c r="N42" s="3"/>
      <c r="O42" s="13"/>
      <c r="P42" s="3"/>
      <c r="Q42" s="13"/>
      <c r="R42" s="3"/>
      <c r="S42" s="13"/>
      <c r="T42" s="3"/>
      <c r="U42" s="13"/>
      <c r="V42" s="3"/>
      <c r="W42" s="3"/>
      <c r="X42" s="3"/>
      <c r="Y42" s="3"/>
      <c r="Z42" s="3"/>
      <c r="AA42" s="3"/>
      <c r="AB42" s="3"/>
      <c r="AC42" s="3"/>
      <c r="AD42" s="3"/>
    </row>
    <row r="43" ht="15.75" customHeight="1">
      <c r="A43" s="13"/>
      <c r="B43" s="3"/>
      <c r="C43" s="13"/>
      <c r="D43" s="3"/>
      <c r="E43" s="3"/>
      <c r="F43" s="3"/>
      <c r="G43" s="13"/>
      <c r="H43" s="3"/>
      <c r="I43" s="3"/>
      <c r="J43" s="3"/>
      <c r="K43" s="13"/>
      <c r="L43" s="3"/>
      <c r="M43" s="13"/>
      <c r="N43" s="3"/>
      <c r="O43" s="13"/>
      <c r="P43" s="3"/>
      <c r="Q43" s="3"/>
      <c r="R43" s="3"/>
      <c r="S43" s="3"/>
      <c r="T43" s="3"/>
      <c r="U43" s="3"/>
      <c r="V43" s="3"/>
      <c r="W43" s="3"/>
      <c r="X43" s="3"/>
      <c r="Y43" s="3"/>
      <c r="Z43" s="3"/>
      <c r="AA43" s="3"/>
      <c r="AB43" s="3"/>
      <c r="AC43" s="3"/>
      <c r="AD43" s="3"/>
    </row>
    <row r="44" ht="15.75" customHeight="1">
      <c r="A44" s="13"/>
      <c r="B44" s="3"/>
      <c r="C44" s="13"/>
      <c r="D44" s="3"/>
      <c r="E44" s="3"/>
      <c r="F44" s="3"/>
      <c r="G44" s="13"/>
      <c r="H44" s="3"/>
      <c r="I44" s="3"/>
      <c r="J44" s="3"/>
      <c r="K44" s="13"/>
      <c r="L44" s="3"/>
      <c r="M44" s="13"/>
      <c r="N44" s="3"/>
      <c r="O44" s="13"/>
      <c r="P44" s="3"/>
      <c r="Q44" s="3"/>
      <c r="R44" s="3"/>
      <c r="S44" s="3"/>
      <c r="T44" s="3"/>
      <c r="U44" s="3"/>
      <c r="V44" s="3"/>
      <c r="W44" s="3"/>
      <c r="X44" s="3"/>
      <c r="Y44" s="3"/>
      <c r="Z44" s="3"/>
      <c r="AA44" s="3"/>
      <c r="AB44" s="3"/>
      <c r="AC44" s="3"/>
      <c r="AD44" s="3"/>
    </row>
    <row r="45" ht="15.75" customHeight="1">
      <c r="A45" s="13"/>
      <c r="B45" s="3"/>
      <c r="C45" s="13"/>
      <c r="D45" s="3"/>
      <c r="E45" s="3"/>
      <c r="F45" s="3"/>
      <c r="G45" s="13"/>
      <c r="H45" s="3"/>
      <c r="I45" s="3"/>
      <c r="J45" s="3"/>
      <c r="K45" s="13"/>
      <c r="L45" s="3"/>
      <c r="M45" s="13"/>
      <c r="N45" s="3"/>
      <c r="O45" s="13"/>
      <c r="P45" s="3"/>
      <c r="Q45" s="3"/>
      <c r="R45" s="3"/>
      <c r="S45" s="3"/>
      <c r="T45" s="3"/>
      <c r="U45" s="3"/>
      <c r="V45" s="3"/>
      <c r="W45" s="3"/>
      <c r="X45" s="3"/>
      <c r="Y45" s="3"/>
      <c r="Z45" s="3"/>
      <c r="AA45" s="3"/>
      <c r="AB45" s="3"/>
      <c r="AC45" s="3"/>
      <c r="AD45" s="3"/>
    </row>
    <row r="46" ht="15.75" customHeight="1">
      <c r="A46" s="13"/>
      <c r="B46" s="3"/>
      <c r="C46" s="13"/>
      <c r="D46" s="3"/>
      <c r="E46" s="3"/>
      <c r="F46" s="3"/>
      <c r="G46" s="13"/>
      <c r="H46" s="3"/>
      <c r="I46" s="13"/>
      <c r="J46" s="3"/>
      <c r="K46" s="13"/>
      <c r="L46" s="3"/>
      <c r="M46" s="13"/>
      <c r="N46" s="3"/>
      <c r="O46" s="13"/>
      <c r="P46" s="3"/>
      <c r="Q46" s="3"/>
      <c r="R46" s="3"/>
      <c r="S46" s="3"/>
      <c r="T46" s="3"/>
      <c r="U46" s="3"/>
      <c r="V46" s="3"/>
      <c r="W46" s="3"/>
      <c r="X46" s="3"/>
      <c r="Y46" s="3"/>
      <c r="Z46" s="3"/>
      <c r="AA46" s="3"/>
      <c r="AB46" s="3"/>
      <c r="AC46" s="3"/>
      <c r="AD46" s="3"/>
    </row>
    <row r="47" ht="15.75" customHeight="1">
      <c r="A47" s="13"/>
      <c r="B47" s="3"/>
      <c r="C47" s="13"/>
      <c r="D47" s="3"/>
      <c r="E47" s="3"/>
      <c r="F47" s="3"/>
      <c r="G47" s="13"/>
      <c r="H47" s="3"/>
      <c r="I47" s="13"/>
      <c r="J47" s="3"/>
      <c r="K47" s="13"/>
      <c r="L47" s="3"/>
      <c r="M47" s="13"/>
      <c r="N47" s="3"/>
      <c r="O47" s="13"/>
      <c r="P47" s="3"/>
      <c r="Q47" s="3"/>
      <c r="R47" s="3"/>
      <c r="S47" s="3"/>
      <c r="T47" s="3"/>
      <c r="U47" s="3"/>
      <c r="V47" s="3"/>
      <c r="W47" s="3"/>
      <c r="X47" s="3"/>
      <c r="Y47" s="3"/>
      <c r="Z47" s="3"/>
      <c r="AA47" s="3"/>
      <c r="AB47" s="3"/>
      <c r="AC47" s="3"/>
      <c r="AD47" s="3"/>
    </row>
    <row r="48" ht="15.75" customHeight="1">
      <c r="A48" s="13"/>
      <c r="B48" s="3"/>
      <c r="C48" s="13"/>
      <c r="D48" s="3"/>
      <c r="E48" s="3"/>
      <c r="F48" s="3"/>
      <c r="G48" s="13"/>
      <c r="H48" s="3"/>
      <c r="I48" s="13"/>
      <c r="J48" s="3"/>
      <c r="K48" s="13"/>
      <c r="L48" s="3"/>
      <c r="M48" s="13"/>
      <c r="N48" s="3"/>
      <c r="O48" s="13"/>
      <c r="P48" s="3"/>
      <c r="Q48" s="3"/>
      <c r="R48" s="3"/>
      <c r="S48" s="3"/>
      <c r="T48" s="3"/>
      <c r="U48" s="3"/>
      <c r="V48" s="3"/>
      <c r="W48" s="3"/>
      <c r="X48" s="3"/>
      <c r="Y48" s="3"/>
      <c r="Z48" s="3"/>
      <c r="AA48" s="3"/>
      <c r="AB48" s="3"/>
      <c r="AC48" s="3"/>
      <c r="AD48" s="3"/>
    </row>
    <row r="49" ht="15.75" customHeight="1">
      <c r="A49" s="13"/>
      <c r="B49" s="3"/>
      <c r="C49" s="13"/>
      <c r="D49" s="3"/>
      <c r="E49" s="3"/>
      <c r="F49" s="3"/>
      <c r="G49" s="13"/>
      <c r="H49" s="3"/>
      <c r="I49" s="13"/>
      <c r="J49" s="3"/>
      <c r="K49" s="13"/>
      <c r="L49" s="3"/>
      <c r="M49" s="13"/>
      <c r="N49" s="3"/>
      <c r="O49" s="13"/>
      <c r="P49" s="3"/>
      <c r="Q49" s="3"/>
      <c r="R49" s="3"/>
      <c r="S49" s="3"/>
      <c r="T49" s="3"/>
      <c r="U49" s="3"/>
      <c r="V49" s="3"/>
      <c r="W49" s="3"/>
      <c r="X49" s="3"/>
      <c r="Y49" s="3"/>
      <c r="Z49" s="3"/>
      <c r="AA49" s="3"/>
      <c r="AB49" s="3"/>
      <c r="AC49" s="3"/>
      <c r="AD49" s="3"/>
    </row>
    <row r="50" ht="15.75" customHeight="1">
      <c r="A50" s="13"/>
      <c r="B50" s="3"/>
      <c r="C50" s="13"/>
      <c r="D50" s="3"/>
      <c r="E50" s="3"/>
      <c r="F50" s="3"/>
      <c r="G50" s="13"/>
      <c r="H50" s="3"/>
      <c r="I50" s="13"/>
      <c r="J50" s="3"/>
      <c r="K50" s="13"/>
      <c r="L50" s="3"/>
      <c r="M50" s="13"/>
      <c r="N50" s="3"/>
      <c r="O50" s="13"/>
      <c r="P50" s="3"/>
      <c r="Q50" s="3"/>
      <c r="R50" s="3"/>
      <c r="S50" s="3"/>
      <c r="T50" s="3"/>
      <c r="U50" s="3"/>
      <c r="V50" s="3"/>
      <c r="W50" s="3"/>
      <c r="X50" s="3"/>
      <c r="Y50" s="3"/>
      <c r="Z50" s="3"/>
      <c r="AA50" s="3"/>
      <c r="AB50" s="3"/>
      <c r="AC50" s="3"/>
      <c r="AD50" s="3"/>
    </row>
    <row r="51" ht="15.75" customHeight="1">
      <c r="A51" s="13"/>
      <c r="B51" s="3"/>
      <c r="C51" s="13"/>
      <c r="D51" s="3"/>
      <c r="E51" s="3"/>
      <c r="F51" s="3"/>
      <c r="G51" s="13"/>
      <c r="H51" s="3"/>
      <c r="I51" s="13"/>
      <c r="J51" s="3"/>
      <c r="K51" s="13"/>
      <c r="L51" s="3"/>
      <c r="M51" s="13"/>
      <c r="N51" s="3"/>
      <c r="O51" s="13"/>
      <c r="P51" s="3"/>
      <c r="Q51" s="3"/>
      <c r="R51" s="3"/>
      <c r="S51" s="3"/>
      <c r="T51" s="3"/>
      <c r="U51" s="3"/>
      <c r="V51" s="3"/>
      <c r="W51" s="3"/>
      <c r="X51" s="3"/>
      <c r="Y51" s="3"/>
      <c r="Z51" s="3"/>
      <c r="AA51" s="3"/>
      <c r="AB51" s="3"/>
      <c r="AC51" s="3"/>
      <c r="AD51" s="3"/>
    </row>
    <row r="52" ht="15.75" customHeight="1">
      <c r="A52" s="13"/>
      <c r="B52" s="3"/>
      <c r="C52" s="13"/>
      <c r="D52" s="3"/>
      <c r="E52" s="3"/>
      <c r="F52" s="3"/>
      <c r="G52" s="13"/>
      <c r="H52" s="3"/>
      <c r="I52" s="13"/>
      <c r="J52" s="3"/>
      <c r="K52" s="13"/>
      <c r="L52" s="3"/>
      <c r="M52" s="13"/>
      <c r="N52" s="3"/>
      <c r="O52" s="13"/>
      <c r="P52" s="3"/>
      <c r="Q52" s="3"/>
      <c r="R52" s="3"/>
      <c r="S52" s="3"/>
      <c r="T52" s="3"/>
      <c r="U52" s="3"/>
      <c r="V52" s="3"/>
      <c r="W52" s="3"/>
      <c r="X52" s="3"/>
      <c r="Y52" s="3"/>
      <c r="Z52" s="3"/>
      <c r="AA52" s="3"/>
      <c r="AB52" s="3"/>
      <c r="AC52" s="3"/>
      <c r="AD52" s="3"/>
    </row>
    <row r="53" ht="15.75" customHeight="1">
      <c r="A53" s="13"/>
      <c r="B53" s="3"/>
      <c r="C53" s="13"/>
      <c r="D53" s="3"/>
      <c r="E53" s="3"/>
      <c r="F53" s="3"/>
      <c r="G53" s="13"/>
      <c r="H53" s="3"/>
      <c r="I53" s="13"/>
      <c r="J53" s="3"/>
      <c r="K53" s="13"/>
      <c r="L53" s="3"/>
      <c r="M53" s="13"/>
      <c r="N53" s="3"/>
      <c r="O53" s="13"/>
      <c r="P53" s="3"/>
      <c r="Q53" s="3"/>
      <c r="R53" s="3"/>
      <c r="S53" s="3"/>
      <c r="T53" s="3"/>
      <c r="U53" s="3"/>
      <c r="V53" s="3"/>
      <c r="W53" s="3"/>
      <c r="X53" s="3"/>
      <c r="Y53" s="3"/>
      <c r="Z53" s="3"/>
      <c r="AA53" s="3"/>
      <c r="AB53" s="3"/>
      <c r="AC53" s="3"/>
      <c r="AD53" s="3"/>
    </row>
    <row r="54" ht="15.75" customHeight="1">
      <c r="A54" s="13"/>
      <c r="B54" s="3"/>
      <c r="C54" s="13"/>
      <c r="D54" s="3"/>
      <c r="E54" s="3"/>
      <c r="F54" s="3"/>
      <c r="G54" s="13"/>
      <c r="H54" s="3"/>
      <c r="I54" s="13"/>
      <c r="J54" s="3"/>
      <c r="K54" s="13"/>
      <c r="L54" s="3"/>
      <c r="M54" s="13"/>
      <c r="N54" s="3"/>
      <c r="O54" s="13"/>
      <c r="P54" s="3"/>
      <c r="Q54" s="3"/>
      <c r="R54" s="3"/>
      <c r="S54" s="3"/>
      <c r="T54" s="3"/>
      <c r="U54" s="3"/>
      <c r="V54" s="3"/>
      <c r="W54" s="3"/>
      <c r="X54" s="3"/>
      <c r="Y54" s="3"/>
      <c r="Z54" s="3"/>
      <c r="AA54" s="3"/>
      <c r="AB54" s="3"/>
      <c r="AC54" s="3"/>
      <c r="AD54" s="3"/>
    </row>
    <row r="55" ht="15.75" customHeight="1">
      <c r="A55" s="13"/>
      <c r="B55" s="3"/>
      <c r="C55" s="13"/>
      <c r="D55" s="3"/>
      <c r="E55" s="3"/>
      <c r="F55" s="3"/>
      <c r="G55" s="13"/>
      <c r="H55" s="3"/>
      <c r="I55" s="13"/>
      <c r="J55" s="3"/>
      <c r="K55" s="13"/>
      <c r="L55" s="3"/>
      <c r="M55" s="13"/>
      <c r="N55" s="3"/>
      <c r="O55" s="13"/>
      <c r="P55" s="3"/>
      <c r="Q55" s="3"/>
      <c r="R55" s="3"/>
      <c r="S55" s="3"/>
      <c r="T55" s="3"/>
      <c r="U55" s="3"/>
      <c r="V55" s="3"/>
      <c r="W55" s="3"/>
      <c r="X55" s="3"/>
      <c r="Y55" s="3"/>
      <c r="Z55" s="3"/>
      <c r="AA55" s="3"/>
      <c r="AB55" s="3"/>
      <c r="AC55" s="3"/>
      <c r="AD55" s="3"/>
    </row>
    <row r="56" ht="15.75" customHeight="1">
      <c r="A56" s="13"/>
      <c r="B56" s="3"/>
      <c r="C56" s="13"/>
      <c r="D56" s="3"/>
      <c r="E56" s="3"/>
      <c r="F56" s="3"/>
      <c r="G56" s="13"/>
      <c r="H56" s="3"/>
      <c r="I56" s="13"/>
      <c r="J56" s="3"/>
      <c r="K56" s="13"/>
      <c r="L56" s="3"/>
      <c r="M56" s="13"/>
      <c r="N56" s="3"/>
      <c r="O56" s="13"/>
      <c r="P56" s="3"/>
      <c r="Q56" s="3"/>
      <c r="R56" s="3"/>
      <c r="S56" s="3"/>
      <c r="T56" s="3"/>
      <c r="U56" s="3"/>
      <c r="V56" s="3"/>
      <c r="W56" s="3"/>
      <c r="X56" s="3"/>
      <c r="Y56" s="3"/>
      <c r="Z56" s="3"/>
      <c r="AA56" s="3"/>
      <c r="AB56" s="3"/>
      <c r="AC56" s="3"/>
      <c r="AD56" s="3"/>
    </row>
    <row r="57" ht="15.75" customHeight="1">
      <c r="A57" s="13"/>
      <c r="B57" s="3"/>
      <c r="C57" s="13"/>
      <c r="D57" s="3"/>
      <c r="E57" s="3"/>
      <c r="F57" s="3"/>
      <c r="G57" s="13"/>
      <c r="H57" s="3"/>
      <c r="I57" s="13"/>
      <c r="J57" s="3"/>
      <c r="K57" s="13"/>
      <c r="L57" s="3"/>
      <c r="M57" s="13"/>
      <c r="N57" s="3"/>
      <c r="O57" s="13"/>
      <c r="P57" s="3"/>
      <c r="Q57" s="3"/>
      <c r="R57" s="3"/>
      <c r="S57" s="3"/>
      <c r="T57" s="3"/>
      <c r="U57" s="3"/>
      <c r="V57" s="3"/>
      <c r="W57" s="3"/>
      <c r="X57" s="3"/>
      <c r="Y57" s="3"/>
      <c r="Z57" s="3"/>
      <c r="AA57" s="3"/>
      <c r="AB57" s="3"/>
      <c r="AC57" s="3"/>
      <c r="AD57" s="3"/>
    </row>
    <row r="58" ht="15.75" customHeight="1">
      <c r="A58" s="13"/>
      <c r="B58" s="3"/>
      <c r="C58" s="13"/>
      <c r="D58" s="3"/>
      <c r="E58" s="3"/>
      <c r="F58" s="3"/>
      <c r="G58" s="13"/>
      <c r="H58" s="3"/>
      <c r="I58" s="13"/>
      <c r="J58" s="3"/>
      <c r="K58" s="13"/>
      <c r="L58" s="3"/>
      <c r="M58" s="13"/>
      <c r="N58" s="3"/>
      <c r="O58" s="13"/>
      <c r="P58" s="3"/>
      <c r="Q58" s="3"/>
      <c r="R58" s="3"/>
      <c r="S58" s="3"/>
      <c r="T58" s="3"/>
      <c r="U58" s="3"/>
      <c r="V58" s="3"/>
      <c r="W58" s="3"/>
      <c r="X58" s="3"/>
      <c r="Y58" s="3"/>
      <c r="Z58" s="3"/>
      <c r="AA58" s="3"/>
      <c r="AB58" s="3"/>
      <c r="AC58" s="3"/>
      <c r="AD58" s="3"/>
    </row>
    <row r="59" ht="15.75" customHeight="1">
      <c r="A59" s="13"/>
      <c r="B59" s="3"/>
      <c r="C59" s="13"/>
      <c r="D59" s="3"/>
      <c r="E59" s="3"/>
      <c r="F59" s="3"/>
      <c r="G59" s="13"/>
      <c r="H59" s="3"/>
      <c r="I59" s="13"/>
      <c r="J59" s="3"/>
      <c r="K59" s="13"/>
      <c r="L59" s="3"/>
      <c r="M59" s="13"/>
      <c r="N59" s="3"/>
      <c r="O59" s="13"/>
      <c r="P59" s="3"/>
      <c r="Q59" s="3"/>
      <c r="R59" s="3"/>
      <c r="S59" s="3"/>
      <c r="T59" s="3"/>
      <c r="U59" s="3"/>
      <c r="V59" s="3"/>
      <c r="W59" s="3"/>
      <c r="X59" s="3"/>
      <c r="Y59" s="3"/>
      <c r="Z59" s="3"/>
      <c r="AA59" s="3"/>
      <c r="AB59" s="3"/>
      <c r="AC59" s="3"/>
      <c r="AD59" s="3"/>
    </row>
    <row r="60" ht="15.75" customHeight="1">
      <c r="A60" s="13"/>
      <c r="B60" s="3"/>
      <c r="C60" s="13"/>
      <c r="D60" s="3"/>
      <c r="E60" s="3"/>
      <c r="F60" s="3"/>
      <c r="G60" s="13"/>
      <c r="H60" s="3"/>
      <c r="I60" s="13"/>
      <c r="J60" s="3"/>
      <c r="K60" s="13"/>
      <c r="L60" s="3"/>
      <c r="M60" s="13"/>
      <c r="N60" s="3"/>
      <c r="O60" s="13"/>
      <c r="P60" s="3"/>
      <c r="Q60" s="3"/>
      <c r="R60" s="3"/>
      <c r="S60" s="3"/>
      <c r="T60" s="3"/>
      <c r="U60" s="3"/>
      <c r="V60" s="3"/>
      <c r="W60" s="3"/>
      <c r="X60" s="3"/>
      <c r="Y60" s="3"/>
      <c r="Z60" s="3"/>
      <c r="AA60" s="3"/>
      <c r="AB60" s="3"/>
      <c r="AC60" s="3"/>
      <c r="AD60" s="3"/>
    </row>
    <row r="61" ht="15.75" customHeight="1">
      <c r="A61" s="13"/>
      <c r="B61" s="3"/>
      <c r="C61" s="13"/>
      <c r="D61" s="3"/>
      <c r="E61" s="3"/>
      <c r="F61" s="3"/>
      <c r="G61" s="13"/>
      <c r="H61" s="3"/>
      <c r="I61" s="13"/>
      <c r="J61" s="3"/>
      <c r="K61" s="13"/>
      <c r="L61" s="3"/>
      <c r="M61" s="13"/>
      <c r="N61" s="3"/>
      <c r="O61" s="13"/>
      <c r="P61" s="3"/>
      <c r="Q61" s="3"/>
      <c r="R61" s="3"/>
      <c r="S61" s="3"/>
      <c r="T61" s="3"/>
      <c r="U61" s="3"/>
      <c r="V61" s="3"/>
      <c r="W61" s="3"/>
      <c r="X61" s="3"/>
      <c r="Y61" s="3"/>
      <c r="Z61" s="3"/>
      <c r="AA61" s="3"/>
      <c r="AB61" s="3"/>
      <c r="AC61" s="3"/>
      <c r="AD61" s="3"/>
    </row>
    <row r="62" ht="15.75" customHeight="1">
      <c r="A62" s="13"/>
      <c r="B62" s="3"/>
      <c r="C62" s="13"/>
      <c r="D62" s="3"/>
      <c r="E62" s="3"/>
      <c r="F62" s="3"/>
      <c r="G62" s="13"/>
      <c r="H62" s="3"/>
      <c r="I62" s="13"/>
      <c r="J62" s="3"/>
      <c r="K62" s="13"/>
      <c r="L62" s="3"/>
      <c r="M62" s="13"/>
      <c r="N62" s="3"/>
      <c r="O62" s="13"/>
      <c r="P62" s="3"/>
      <c r="Q62" s="3"/>
      <c r="R62" s="3"/>
      <c r="S62" s="3"/>
      <c r="T62" s="3"/>
      <c r="U62" s="3"/>
      <c r="V62" s="3"/>
      <c r="W62" s="3"/>
      <c r="X62" s="3"/>
      <c r="Y62" s="3"/>
      <c r="Z62" s="3"/>
      <c r="AA62" s="3"/>
      <c r="AB62" s="3"/>
      <c r="AC62" s="3"/>
      <c r="AD62" s="3"/>
    </row>
    <row r="63" ht="15.75" customHeight="1">
      <c r="A63" s="3"/>
      <c r="B63" s="3"/>
      <c r="C63" s="13"/>
      <c r="D63" s="3"/>
      <c r="E63" s="3"/>
      <c r="F63" s="3"/>
      <c r="G63" s="13"/>
      <c r="H63" s="3"/>
      <c r="I63" s="13"/>
      <c r="J63" s="3"/>
      <c r="K63" s="13"/>
      <c r="L63" s="3"/>
      <c r="M63" s="13"/>
      <c r="N63" s="3"/>
      <c r="O63" s="13"/>
      <c r="P63" s="3"/>
      <c r="Q63" s="3"/>
      <c r="R63" s="3"/>
      <c r="S63" s="3"/>
      <c r="T63" s="3"/>
      <c r="U63" s="3"/>
      <c r="V63" s="3"/>
      <c r="W63" s="3"/>
      <c r="X63" s="3"/>
      <c r="Y63" s="3"/>
      <c r="Z63" s="3"/>
      <c r="AA63" s="3"/>
      <c r="AB63" s="3"/>
      <c r="AC63" s="3"/>
      <c r="AD63" s="3"/>
    </row>
    <row r="64" ht="15.75" customHeight="1">
      <c r="A64" s="3"/>
      <c r="B64" s="3"/>
      <c r="C64" s="13"/>
      <c r="D64" s="3"/>
      <c r="E64" s="3"/>
      <c r="F64" s="3"/>
      <c r="G64" s="13"/>
      <c r="H64" s="3"/>
      <c r="I64" s="13"/>
      <c r="J64" s="3"/>
      <c r="K64" s="13"/>
      <c r="L64" s="3"/>
      <c r="M64" s="13"/>
      <c r="N64" s="3"/>
      <c r="O64" s="13"/>
      <c r="P64" s="3"/>
      <c r="Q64" s="3"/>
      <c r="R64" s="3"/>
      <c r="S64" s="3"/>
      <c r="T64" s="3"/>
      <c r="U64" s="3"/>
      <c r="V64" s="3"/>
      <c r="W64" s="3"/>
      <c r="X64" s="3"/>
      <c r="Y64" s="3"/>
      <c r="Z64" s="3"/>
      <c r="AA64" s="3"/>
      <c r="AB64" s="3"/>
      <c r="AC64" s="3"/>
      <c r="AD64" s="3"/>
    </row>
    <row r="65" ht="15.75" customHeight="1">
      <c r="A65" s="3"/>
      <c r="B65" s="3"/>
      <c r="C65" s="13"/>
      <c r="D65" s="3"/>
      <c r="E65" s="3"/>
      <c r="F65" s="3"/>
      <c r="G65" s="13"/>
      <c r="H65" s="3"/>
      <c r="I65" s="13"/>
      <c r="J65" s="3"/>
      <c r="K65" s="13"/>
      <c r="L65" s="3"/>
      <c r="M65" s="13"/>
      <c r="N65" s="3"/>
      <c r="O65" s="13"/>
      <c r="P65" s="3"/>
      <c r="Q65" s="3"/>
      <c r="R65" s="3"/>
      <c r="S65" s="3"/>
      <c r="T65" s="3"/>
      <c r="U65" s="3"/>
      <c r="V65" s="3"/>
      <c r="W65" s="3"/>
      <c r="X65" s="3"/>
      <c r="Y65" s="3"/>
      <c r="Z65" s="3"/>
      <c r="AA65" s="3"/>
      <c r="AB65" s="3"/>
      <c r="AC65" s="3"/>
      <c r="AD65" s="3"/>
    </row>
    <row r="66" ht="15.75" customHeight="1">
      <c r="A66" s="3"/>
      <c r="B66" s="3"/>
      <c r="C66" s="3"/>
      <c r="D66" s="3"/>
      <c r="E66" s="3"/>
      <c r="F66" s="3"/>
      <c r="G66" s="13"/>
      <c r="H66" s="3"/>
      <c r="I66" s="13"/>
      <c r="J66" s="3"/>
      <c r="K66" s="13"/>
      <c r="L66" s="3"/>
      <c r="M66" s="13"/>
      <c r="N66" s="3"/>
      <c r="O66" s="13"/>
      <c r="P66" s="3"/>
      <c r="Q66" s="3"/>
      <c r="R66" s="3"/>
      <c r="S66" s="3"/>
      <c r="T66" s="3"/>
      <c r="U66" s="3"/>
      <c r="V66" s="3"/>
      <c r="W66" s="3"/>
      <c r="X66" s="3"/>
      <c r="Y66" s="3"/>
      <c r="Z66" s="3"/>
      <c r="AA66" s="3"/>
      <c r="AB66" s="3"/>
      <c r="AC66" s="3"/>
      <c r="AD66" s="3"/>
    </row>
    <row r="67" ht="15.75" customHeight="1">
      <c r="A67" s="3"/>
      <c r="B67" s="3"/>
      <c r="C67" s="3"/>
      <c r="D67" s="3"/>
      <c r="E67" s="3"/>
      <c r="F67" s="3"/>
      <c r="G67" s="13"/>
      <c r="H67" s="3"/>
      <c r="I67" s="13"/>
      <c r="J67" s="3"/>
      <c r="K67" s="13"/>
      <c r="L67" s="3"/>
      <c r="M67" s="13"/>
      <c r="N67" s="3"/>
      <c r="O67" s="13"/>
      <c r="P67" s="3"/>
      <c r="Q67" s="3"/>
      <c r="R67" s="3"/>
      <c r="S67" s="3"/>
      <c r="T67" s="3"/>
      <c r="U67" s="3"/>
      <c r="V67" s="3"/>
      <c r="W67" s="3"/>
      <c r="X67" s="3"/>
      <c r="Y67" s="3"/>
      <c r="Z67" s="3"/>
      <c r="AA67" s="3"/>
      <c r="AB67" s="3"/>
      <c r="AC67" s="3"/>
      <c r="AD67" s="3"/>
    </row>
    <row r="68" ht="15.75" customHeight="1">
      <c r="A68" s="3"/>
      <c r="B68" s="3"/>
      <c r="C68" s="3"/>
      <c r="D68" s="3"/>
      <c r="E68" s="3"/>
      <c r="F68" s="3"/>
      <c r="G68" s="3"/>
      <c r="H68" s="3"/>
      <c r="I68" s="13"/>
      <c r="J68" s="3"/>
      <c r="K68" s="3"/>
      <c r="L68" s="3"/>
      <c r="M68" s="3"/>
      <c r="N68" s="3"/>
      <c r="O68" s="13"/>
      <c r="P68" s="3"/>
      <c r="Q68" s="3"/>
      <c r="R68" s="3"/>
      <c r="S68" s="3"/>
      <c r="T68" s="3"/>
      <c r="U68" s="3"/>
      <c r="V68" s="3"/>
      <c r="W68" s="3"/>
      <c r="X68" s="3"/>
      <c r="Y68" s="3"/>
      <c r="Z68" s="3"/>
      <c r="AA68" s="3"/>
      <c r="AB68" s="3"/>
      <c r="AC68" s="3"/>
      <c r="AD68" s="3"/>
    </row>
    <row r="69" ht="15.75" customHeight="1">
      <c r="A69" s="3"/>
      <c r="B69" s="3"/>
      <c r="C69" s="3"/>
      <c r="D69" s="3"/>
      <c r="E69" s="3"/>
      <c r="F69" s="3"/>
      <c r="G69" s="3"/>
      <c r="H69" s="3"/>
      <c r="I69" s="13"/>
      <c r="J69" s="3"/>
      <c r="K69" s="3"/>
      <c r="L69" s="3"/>
      <c r="M69" s="3"/>
      <c r="N69" s="3"/>
      <c r="O69" s="13"/>
      <c r="P69" s="3"/>
      <c r="Q69" s="3"/>
      <c r="R69" s="3"/>
      <c r="S69" s="3"/>
      <c r="T69" s="3"/>
      <c r="U69" s="3"/>
      <c r="V69" s="3"/>
      <c r="W69" s="3"/>
      <c r="X69" s="3"/>
      <c r="Y69" s="3"/>
      <c r="Z69" s="3"/>
      <c r="AA69" s="3"/>
      <c r="AB69" s="3"/>
      <c r="AC69" s="3"/>
      <c r="AD69" s="3"/>
    </row>
    <row r="70" ht="15.75" customHeight="1">
      <c r="A70" s="3"/>
      <c r="B70" s="3"/>
      <c r="C70" s="3"/>
      <c r="D70" s="3"/>
      <c r="E70" s="3"/>
      <c r="F70" s="3"/>
      <c r="G70" s="3"/>
      <c r="H70" s="3"/>
      <c r="I70" s="13"/>
      <c r="J70" s="3"/>
      <c r="K70" s="3"/>
      <c r="L70" s="3"/>
      <c r="M70" s="3"/>
      <c r="N70" s="3"/>
      <c r="O70" s="3"/>
      <c r="P70" s="3"/>
      <c r="Q70" s="3"/>
      <c r="R70" s="3"/>
      <c r="S70" s="3"/>
      <c r="T70" s="3"/>
      <c r="U70" s="3"/>
      <c r="V70" s="3"/>
      <c r="W70" s="3"/>
      <c r="X70" s="3"/>
      <c r="Y70" s="3"/>
      <c r="Z70" s="3"/>
      <c r="AA70" s="3"/>
      <c r="AB70" s="3"/>
      <c r="AC70" s="3"/>
      <c r="AD70" s="3"/>
    </row>
    <row r="71" ht="15.75" customHeight="1">
      <c r="A71" s="3"/>
      <c r="B71" s="3"/>
      <c r="C71" s="3"/>
      <c r="D71" s="3"/>
      <c r="E71" s="3"/>
      <c r="F71" s="3"/>
      <c r="G71" s="3"/>
      <c r="H71" s="3"/>
      <c r="I71" s="13"/>
      <c r="J71" s="3"/>
      <c r="K71" s="3"/>
      <c r="L71" s="3"/>
      <c r="M71" s="3"/>
      <c r="N71" s="3"/>
      <c r="O71" s="3"/>
      <c r="P71" s="3"/>
      <c r="Q71" s="3"/>
      <c r="R71" s="3"/>
      <c r="S71" s="3"/>
      <c r="T71" s="3"/>
      <c r="U71" s="3"/>
      <c r="V71" s="3"/>
      <c r="W71" s="3"/>
      <c r="X71" s="3"/>
      <c r="Y71" s="3"/>
      <c r="Z71" s="3"/>
      <c r="AA71" s="3"/>
      <c r="AB71" s="3"/>
      <c r="AC71" s="3"/>
      <c r="AD71" s="3"/>
    </row>
    <row r="72" ht="15.75" customHeight="1">
      <c r="A72" s="3"/>
      <c r="B72" s="3"/>
      <c r="C72" s="3"/>
      <c r="D72" s="3"/>
      <c r="E72" s="3"/>
      <c r="F72" s="3"/>
      <c r="G72" s="3"/>
      <c r="H72" s="3"/>
      <c r="I72" s="13"/>
      <c r="J72" s="3"/>
      <c r="K72" s="3"/>
      <c r="L72" s="3"/>
      <c r="M72" s="3"/>
      <c r="N72" s="3"/>
      <c r="O72" s="3"/>
      <c r="P72" s="3"/>
      <c r="Q72" s="3"/>
      <c r="R72" s="3"/>
      <c r="S72" s="3"/>
      <c r="T72" s="3"/>
      <c r="U72" s="3"/>
      <c r="V72" s="3"/>
      <c r="W72" s="3"/>
      <c r="X72" s="3"/>
      <c r="Y72" s="3"/>
      <c r="Z72" s="3"/>
      <c r="AA72" s="3"/>
      <c r="AB72" s="3"/>
      <c r="AC72" s="3"/>
      <c r="AD72" s="3"/>
    </row>
    <row r="73" ht="15.75" customHeight="1">
      <c r="A73" s="3"/>
      <c r="B73" s="3"/>
      <c r="C73" s="3"/>
      <c r="D73" s="3"/>
      <c r="E73" s="3"/>
      <c r="F73" s="3"/>
      <c r="G73" s="3"/>
      <c r="H73" s="3"/>
      <c r="I73" s="13"/>
      <c r="J73" s="3"/>
      <c r="K73" s="3"/>
      <c r="L73" s="3"/>
      <c r="M73" s="3"/>
      <c r="N73" s="3"/>
      <c r="O73" s="3"/>
      <c r="P73" s="3"/>
      <c r="Q73" s="3"/>
      <c r="R73" s="3"/>
      <c r="S73" s="3"/>
      <c r="T73" s="3"/>
      <c r="U73" s="3"/>
      <c r="V73" s="3"/>
      <c r="W73" s="3"/>
      <c r="X73" s="3"/>
      <c r="Y73" s="3"/>
      <c r="Z73" s="3"/>
      <c r="AA73" s="3"/>
      <c r="AB73" s="3"/>
      <c r="AC73" s="3"/>
      <c r="AD73" s="3"/>
    </row>
    <row r="74" ht="15.75" customHeight="1">
      <c r="A74" s="3"/>
      <c r="B74" s="3"/>
      <c r="C74" s="3"/>
      <c r="D74" s="3"/>
      <c r="E74" s="3"/>
      <c r="F74" s="3"/>
      <c r="G74" s="3"/>
      <c r="H74" s="3"/>
      <c r="I74" s="13"/>
      <c r="J74" s="3"/>
      <c r="K74" s="3"/>
      <c r="L74" s="3"/>
      <c r="M74" s="3"/>
      <c r="N74" s="3"/>
      <c r="O74" s="3"/>
      <c r="P74" s="3"/>
      <c r="Q74" s="3"/>
      <c r="R74" s="3"/>
      <c r="S74" s="3"/>
      <c r="T74" s="3"/>
      <c r="U74" s="3"/>
      <c r="V74" s="3"/>
      <c r="W74" s="3"/>
      <c r="X74" s="3"/>
      <c r="Y74" s="3"/>
      <c r="Z74" s="3"/>
      <c r="AA74" s="3"/>
      <c r="AB74" s="3"/>
      <c r="AC74" s="3"/>
      <c r="AD74" s="3"/>
    </row>
    <row r="75" ht="15.75" customHeight="1">
      <c r="A75" s="3"/>
      <c r="B75" s="3"/>
      <c r="C75" s="3"/>
      <c r="D75" s="3"/>
      <c r="E75" s="3"/>
      <c r="F75" s="3"/>
      <c r="G75" s="3"/>
      <c r="H75" s="3"/>
      <c r="I75" s="13"/>
      <c r="J75" s="3"/>
      <c r="K75" s="3"/>
      <c r="L75" s="3"/>
      <c r="M75" s="3"/>
      <c r="N75" s="3"/>
      <c r="O75" s="3"/>
      <c r="P75" s="3"/>
      <c r="Q75" s="3"/>
      <c r="R75" s="3"/>
      <c r="S75" s="3"/>
      <c r="T75" s="3"/>
      <c r="U75" s="3"/>
      <c r="V75" s="3"/>
      <c r="W75" s="3"/>
      <c r="X75" s="3"/>
      <c r="Y75" s="3"/>
      <c r="Z75" s="3"/>
      <c r="AA75" s="3"/>
      <c r="AB75" s="3"/>
      <c r="AC75" s="3"/>
      <c r="AD75" s="3"/>
    </row>
    <row r="76" ht="15.75" customHeight="1">
      <c r="A76" s="3"/>
      <c r="B76" s="3"/>
      <c r="C76" s="3"/>
      <c r="D76" s="3"/>
      <c r="E76" s="3"/>
      <c r="F76" s="3"/>
      <c r="G76" s="3"/>
      <c r="H76" s="3"/>
      <c r="I76" s="13"/>
      <c r="J76" s="3"/>
      <c r="K76" s="3"/>
      <c r="L76" s="3"/>
      <c r="M76" s="3"/>
      <c r="N76" s="3"/>
      <c r="O76" s="3"/>
      <c r="P76" s="3"/>
      <c r="Q76" s="3"/>
      <c r="R76" s="3"/>
      <c r="S76" s="3"/>
      <c r="T76" s="3"/>
      <c r="U76" s="3"/>
      <c r="V76" s="3"/>
      <c r="W76" s="3"/>
      <c r="X76" s="3"/>
      <c r="Y76" s="3"/>
      <c r="Z76" s="3"/>
      <c r="AA76" s="3"/>
      <c r="AB76" s="3"/>
      <c r="AC76" s="3"/>
      <c r="AD76" s="3"/>
    </row>
    <row r="77" ht="15.75" customHeight="1">
      <c r="A77" s="3"/>
      <c r="B77" s="3"/>
      <c r="C77" s="3"/>
      <c r="D77" s="3"/>
      <c r="E77" s="3"/>
      <c r="F77" s="3"/>
      <c r="G77" s="3"/>
      <c r="H77" s="3"/>
      <c r="I77" s="13"/>
      <c r="J77" s="3"/>
      <c r="K77" s="3"/>
      <c r="L77" s="3"/>
      <c r="M77" s="3"/>
      <c r="N77" s="3"/>
      <c r="O77" s="3"/>
      <c r="P77" s="3"/>
      <c r="Q77" s="3"/>
      <c r="R77" s="3"/>
      <c r="S77" s="3"/>
      <c r="T77" s="3"/>
      <c r="U77" s="3"/>
      <c r="V77" s="3"/>
      <c r="W77" s="3"/>
      <c r="X77" s="3"/>
      <c r="Y77" s="3"/>
      <c r="Z77" s="3"/>
      <c r="AA77" s="3"/>
      <c r="AB77" s="3"/>
      <c r="AC77" s="3"/>
      <c r="AD77" s="3"/>
    </row>
    <row r="78" ht="15.75" customHeight="1">
      <c r="A78" s="3"/>
      <c r="B78" s="3"/>
      <c r="C78" s="3"/>
      <c r="D78" s="3"/>
      <c r="E78" s="3"/>
      <c r="F78" s="3"/>
      <c r="G78" s="3"/>
      <c r="H78" s="3"/>
      <c r="I78" s="13"/>
      <c r="J78" s="3"/>
      <c r="K78" s="3"/>
      <c r="L78" s="3"/>
      <c r="M78" s="3"/>
      <c r="N78" s="3"/>
      <c r="O78" s="3"/>
      <c r="P78" s="3"/>
      <c r="Q78" s="3"/>
      <c r="R78" s="3"/>
      <c r="S78" s="3"/>
      <c r="T78" s="3"/>
      <c r="U78" s="3"/>
      <c r="V78" s="3"/>
      <c r="W78" s="3"/>
      <c r="X78" s="3"/>
      <c r="Y78" s="3"/>
      <c r="Z78" s="3"/>
      <c r="AA78" s="3"/>
      <c r="AB78" s="3"/>
      <c r="AC78" s="3"/>
      <c r="AD78" s="3"/>
    </row>
    <row r="79" ht="15.75" customHeight="1">
      <c r="A79" s="3"/>
      <c r="B79" s="3"/>
      <c r="C79" s="3"/>
      <c r="D79" s="3"/>
      <c r="E79" s="3"/>
      <c r="F79" s="3"/>
      <c r="G79" s="3"/>
      <c r="H79" s="3"/>
      <c r="I79" s="13"/>
      <c r="J79" s="3"/>
      <c r="K79" s="3"/>
      <c r="L79" s="3"/>
      <c r="M79" s="3"/>
      <c r="N79" s="3"/>
      <c r="O79" s="3"/>
      <c r="P79" s="3"/>
      <c r="Q79" s="3"/>
      <c r="R79" s="3"/>
      <c r="S79" s="3"/>
      <c r="T79" s="3"/>
      <c r="U79" s="3"/>
      <c r="V79" s="3"/>
      <c r="W79" s="3"/>
      <c r="X79" s="3"/>
      <c r="Y79" s="3"/>
      <c r="Z79" s="3"/>
      <c r="AA79" s="3"/>
      <c r="AB79" s="3"/>
      <c r="AC79" s="3"/>
      <c r="AD79" s="3"/>
    </row>
    <row r="80" ht="15.75" customHeight="1">
      <c r="A80" s="3"/>
      <c r="B80" s="3"/>
      <c r="C80" s="3"/>
      <c r="D80" s="3"/>
      <c r="E80" s="3"/>
      <c r="F80" s="3"/>
      <c r="G80" s="3"/>
      <c r="H80" s="3"/>
      <c r="I80" s="13"/>
      <c r="J80" s="3"/>
      <c r="K80" s="3"/>
      <c r="L80" s="3"/>
      <c r="M80" s="3"/>
      <c r="N80" s="3"/>
      <c r="O80" s="3"/>
      <c r="P80" s="3"/>
      <c r="Q80" s="3"/>
      <c r="R80" s="3"/>
      <c r="S80" s="3"/>
      <c r="T80" s="3"/>
      <c r="U80" s="3"/>
      <c r="V80" s="3"/>
      <c r="W80" s="3"/>
      <c r="X80" s="3"/>
      <c r="Y80" s="3"/>
      <c r="Z80" s="3"/>
      <c r="AA80" s="3"/>
      <c r="AB80" s="3"/>
      <c r="AC80" s="3"/>
      <c r="AD80" s="3"/>
    </row>
    <row r="81" ht="15.75" customHeight="1">
      <c r="A81" s="3"/>
      <c r="B81" s="3"/>
      <c r="C81" s="3"/>
      <c r="D81" s="3"/>
      <c r="E81" s="3"/>
      <c r="F81" s="3"/>
      <c r="G81" s="3"/>
      <c r="H81" s="3"/>
      <c r="I81" s="13"/>
      <c r="J81" s="3"/>
      <c r="K81" s="3"/>
      <c r="L81" s="3"/>
      <c r="M81" s="3"/>
      <c r="N81" s="3"/>
      <c r="O81" s="3"/>
      <c r="P81" s="3"/>
      <c r="Q81" s="3"/>
      <c r="R81" s="3"/>
      <c r="S81" s="3"/>
      <c r="T81" s="3"/>
      <c r="U81" s="3"/>
      <c r="V81" s="3"/>
      <c r="W81" s="3"/>
      <c r="X81" s="3"/>
      <c r="Y81" s="3"/>
      <c r="Z81" s="3"/>
      <c r="AA81" s="3"/>
      <c r="AB81" s="3"/>
      <c r="AC81" s="3"/>
      <c r="AD81" s="3"/>
    </row>
    <row r="82" ht="15.75" customHeight="1">
      <c r="A82" s="3"/>
      <c r="B82" s="3"/>
      <c r="C82" s="3"/>
      <c r="D82" s="3"/>
      <c r="E82" s="3"/>
      <c r="F82" s="3"/>
      <c r="G82" s="3"/>
      <c r="H82" s="3"/>
      <c r="I82" s="13"/>
      <c r="J82" s="3"/>
      <c r="K82" s="3"/>
      <c r="L82" s="3"/>
      <c r="M82" s="3"/>
      <c r="N82" s="3"/>
      <c r="O82" s="3"/>
      <c r="P82" s="3"/>
      <c r="Q82" s="3"/>
      <c r="R82" s="3"/>
      <c r="S82" s="3"/>
      <c r="T82" s="3"/>
      <c r="U82" s="3"/>
      <c r="V82" s="3"/>
      <c r="W82" s="3"/>
      <c r="X82" s="3"/>
      <c r="Y82" s="3"/>
      <c r="Z82" s="3"/>
      <c r="AA82" s="3"/>
      <c r="AB82" s="3"/>
      <c r="AC82" s="3"/>
      <c r="AD82" s="3"/>
    </row>
    <row r="83" ht="15.75" customHeight="1">
      <c r="A83" s="3"/>
      <c r="B83" s="3"/>
      <c r="C83" s="3"/>
      <c r="D83" s="3"/>
      <c r="E83" s="3"/>
      <c r="F83" s="3"/>
      <c r="G83" s="3"/>
      <c r="H83" s="3"/>
      <c r="I83" s="13"/>
      <c r="J83" s="3"/>
      <c r="K83" s="3"/>
      <c r="L83" s="3"/>
      <c r="M83" s="3"/>
      <c r="N83" s="3"/>
      <c r="O83" s="3"/>
      <c r="P83" s="3"/>
      <c r="Q83" s="3"/>
      <c r="R83" s="3"/>
      <c r="S83" s="3"/>
      <c r="T83" s="3"/>
      <c r="U83" s="3"/>
      <c r="V83" s="3"/>
      <c r="W83" s="3"/>
      <c r="X83" s="3"/>
      <c r="Y83" s="3"/>
      <c r="Z83" s="3"/>
      <c r="AA83" s="3"/>
      <c r="AB83" s="3"/>
      <c r="AC83" s="3"/>
      <c r="AD83" s="3"/>
    </row>
    <row r="84" ht="15.75" customHeight="1">
      <c r="A84" s="3"/>
      <c r="B84" s="3"/>
      <c r="C84" s="3"/>
      <c r="D84" s="3"/>
      <c r="E84" s="3"/>
      <c r="F84" s="3"/>
      <c r="G84" s="3"/>
      <c r="H84" s="3"/>
      <c r="I84" s="13"/>
      <c r="J84" s="3"/>
      <c r="K84" s="3"/>
      <c r="L84" s="3"/>
      <c r="M84" s="3"/>
      <c r="N84" s="3"/>
      <c r="O84" s="3"/>
      <c r="P84" s="3"/>
      <c r="Q84" s="3"/>
      <c r="R84" s="3"/>
      <c r="S84" s="3"/>
      <c r="T84" s="3"/>
      <c r="U84" s="3"/>
      <c r="V84" s="3"/>
      <c r="W84" s="3"/>
      <c r="X84" s="3"/>
      <c r="Y84" s="3"/>
      <c r="Z84" s="3"/>
      <c r="AA84" s="3"/>
      <c r="AB84" s="3"/>
      <c r="AC84" s="3"/>
      <c r="AD84" s="3"/>
    </row>
    <row r="85" ht="15.75" customHeight="1">
      <c r="A85" s="3"/>
      <c r="B85" s="3"/>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row>
    <row r="86" ht="15.75" customHeight="1">
      <c r="A86" s="3"/>
      <c r="B86" s="3"/>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row>
    <row r="87" ht="15.75" customHeight="1">
      <c r="A87" s="3"/>
      <c r="B87" s="3"/>
      <c r="C87" s="3"/>
      <c r="D87" s="3"/>
      <c r="E87" s="3"/>
      <c r="F87" s="3"/>
      <c r="G87" s="3"/>
      <c r="H87" s="3"/>
      <c r="I87" s="3"/>
      <c r="J87" s="3"/>
      <c r="K87" s="3"/>
      <c r="L87" s="3"/>
      <c r="M87" s="3"/>
      <c r="N87" s="3"/>
      <c r="O87" s="3"/>
      <c r="P87" s="3"/>
      <c r="Q87" s="3"/>
      <c r="R87" s="3"/>
      <c r="S87" s="3"/>
      <c r="T87" s="3"/>
      <c r="U87" s="3"/>
      <c r="V87" s="3"/>
      <c r="W87" s="3"/>
      <c r="X87" s="3"/>
      <c r="Y87" s="3"/>
      <c r="Z87" s="3"/>
      <c r="AA87" s="3"/>
      <c r="AB87" s="3"/>
      <c r="AC87" s="3"/>
      <c r="AD87" s="3"/>
    </row>
    <row r="88" ht="15.75" customHeight="1">
      <c r="A88" s="3"/>
      <c r="B88" s="3"/>
      <c r="C88" s="3"/>
      <c r="D88" s="3"/>
      <c r="E88" s="3"/>
      <c r="F88" s="3"/>
      <c r="G88" s="3"/>
      <c r="H88" s="3"/>
      <c r="I88" s="3"/>
      <c r="J88" s="3"/>
      <c r="K88" s="3"/>
      <c r="L88" s="3"/>
      <c r="M88" s="3"/>
      <c r="N88" s="3"/>
      <c r="O88" s="3"/>
      <c r="P88" s="3"/>
      <c r="Q88" s="3"/>
      <c r="R88" s="3"/>
      <c r="S88" s="3"/>
      <c r="T88" s="3"/>
      <c r="U88" s="3"/>
      <c r="V88" s="3"/>
      <c r="W88" s="3"/>
      <c r="X88" s="3"/>
      <c r="Y88" s="3"/>
      <c r="Z88" s="3"/>
      <c r="AA88" s="3"/>
      <c r="AB88" s="3"/>
      <c r="AC88" s="3"/>
      <c r="AD88" s="3"/>
    </row>
    <row r="89" ht="15.75" customHeight="1">
      <c r="A89" s="3"/>
      <c r="B89" s="3"/>
      <c r="C89" s="3"/>
      <c r="D89" s="3"/>
      <c r="E89" s="3"/>
      <c r="F89" s="3"/>
      <c r="G89" s="3"/>
      <c r="H89" s="3"/>
      <c r="I89" s="3"/>
      <c r="J89" s="3"/>
      <c r="K89" s="3"/>
      <c r="L89" s="3"/>
      <c r="M89" s="3"/>
      <c r="N89" s="3"/>
      <c r="O89" s="3"/>
      <c r="P89" s="3"/>
      <c r="Q89" s="3"/>
      <c r="R89" s="3"/>
      <c r="S89" s="3"/>
      <c r="T89" s="3"/>
      <c r="U89" s="3"/>
      <c r="V89" s="3"/>
      <c r="W89" s="3"/>
      <c r="X89" s="3"/>
      <c r="Y89" s="3"/>
      <c r="Z89" s="3"/>
      <c r="AA89" s="3"/>
      <c r="AB89" s="3"/>
      <c r="AC89" s="3"/>
      <c r="AD89" s="3"/>
    </row>
    <row r="90" ht="15.75" customHeight="1">
      <c r="A90" s="3"/>
      <c r="B90" s="3"/>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row>
    <row r="91" ht="15.75" customHeight="1">
      <c r="A91" s="3"/>
      <c r="B91" s="3"/>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row>
    <row r="92" ht="15.75" customHeight="1">
      <c r="A92" s="3"/>
      <c r="B92" s="3"/>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row>
    <row r="93" ht="15.75" customHeight="1">
      <c r="A93" s="3"/>
      <c r="B93" s="3"/>
      <c r="C93" s="3"/>
      <c r="D93" s="3"/>
      <c r="E93" s="3"/>
      <c r="F93" s="3"/>
      <c r="G93" s="3"/>
      <c r="H93" s="3"/>
      <c r="I93" s="3"/>
      <c r="J93" s="3"/>
      <c r="K93" s="3"/>
      <c r="L93" s="3"/>
      <c r="M93" s="3"/>
      <c r="N93" s="3"/>
      <c r="O93" s="3"/>
      <c r="P93" s="3"/>
      <c r="Q93" s="3"/>
      <c r="R93" s="3"/>
      <c r="S93" s="3"/>
      <c r="T93" s="3"/>
      <c r="U93" s="3"/>
      <c r="V93" s="3"/>
      <c r="W93" s="3"/>
      <c r="X93" s="3"/>
      <c r="Y93" s="3"/>
      <c r="Z93" s="3"/>
      <c r="AA93" s="3"/>
      <c r="AB93" s="3"/>
      <c r="AC93" s="3"/>
      <c r="AD93" s="3"/>
    </row>
    <row r="94" ht="15.75" customHeight="1">
      <c r="A94" s="3"/>
      <c r="B94" s="3"/>
      <c r="C94" s="3"/>
      <c r="D94" s="3"/>
      <c r="E94" s="3"/>
      <c r="F94" s="3"/>
      <c r="G94" s="3"/>
      <c r="H94" s="3"/>
      <c r="I94" s="3"/>
      <c r="J94" s="3"/>
      <c r="K94" s="3"/>
      <c r="L94" s="3"/>
      <c r="M94" s="3"/>
      <c r="N94" s="3"/>
      <c r="O94" s="3"/>
      <c r="P94" s="3"/>
      <c r="Q94" s="3"/>
      <c r="R94" s="3"/>
      <c r="S94" s="3"/>
      <c r="T94" s="3"/>
      <c r="U94" s="3"/>
      <c r="V94" s="3"/>
      <c r="W94" s="3"/>
      <c r="X94" s="3"/>
      <c r="Y94" s="3"/>
      <c r="Z94" s="3"/>
      <c r="AA94" s="3"/>
      <c r="AB94" s="3"/>
      <c r="AC94" s="3"/>
      <c r="AD94" s="3"/>
    </row>
    <row r="95" ht="15.75" customHeight="1">
      <c r="A95" s="3"/>
      <c r="B95" s="3"/>
      <c r="C95" s="3"/>
      <c r="D95" s="3"/>
      <c r="E95" s="3"/>
      <c r="F95" s="3"/>
      <c r="G95" s="3"/>
      <c r="H95" s="3"/>
      <c r="I95" s="3"/>
      <c r="J95" s="3"/>
      <c r="K95" s="3"/>
      <c r="L95" s="3"/>
      <c r="M95" s="3"/>
      <c r="N95" s="3"/>
      <c r="O95" s="3"/>
      <c r="P95" s="3"/>
      <c r="Q95" s="3"/>
      <c r="R95" s="3"/>
      <c r="S95" s="3"/>
      <c r="T95" s="3"/>
      <c r="U95" s="3"/>
      <c r="V95" s="3"/>
      <c r="W95" s="3"/>
      <c r="X95" s="3"/>
      <c r="Y95" s="3"/>
      <c r="Z95" s="3"/>
      <c r="AA95" s="3"/>
      <c r="AB95" s="3"/>
      <c r="AC95" s="3"/>
      <c r="AD95" s="3"/>
    </row>
    <row r="96" ht="15.75" customHeight="1">
      <c r="A96" s="3"/>
      <c r="B96" s="3"/>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row>
    <row r="97" ht="15.75" customHeight="1">
      <c r="A97" s="3"/>
      <c r="B97" s="3"/>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row>
    <row r="98" ht="15.75" customHeight="1">
      <c r="A98" s="3"/>
      <c r="B98" s="3"/>
      <c r="C98" s="3"/>
      <c r="D98" s="3"/>
      <c r="E98" s="3"/>
      <c r="F98" s="3"/>
      <c r="G98" s="3"/>
      <c r="H98" s="3"/>
      <c r="I98" s="3"/>
      <c r="J98" s="3"/>
      <c r="K98" s="3"/>
      <c r="L98" s="3"/>
      <c r="M98" s="3"/>
      <c r="N98" s="3"/>
      <c r="O98" s="3"/>
      <c r="P98" s="3"/>
      <c r="Q98" s="3"/>
      <c r="R98" s="3"/>
      <c r="S98" s="3"/>
      <c r="T98" s="3"/>
      <c r="U98" s="3"/>
      <c r="V98" s="3"/>
      <c r="W98" s="3"/>
      <c r="X98" s="3"/>
      <c r="Y98" s="3"/>
      <c r="Z98" s="3"/>
      <c r="AA98" s="3"/>
      <c r="AB98" s="3"/>
      <c r="AC98" s="3"/>
      <c r="AD98" s="3"/>
    </row>
    <row r="99" ht="15.75" customHeight="1">
      <c r="A99" s="3"/>
      <c r="B99" s="3"/>
      <c r="C99" s="3"/>
      <c r="D99" s="3"/>
      <c r="E99" s="3"/>
      <c r="F99" s="3"/>
      <c r="G99" s="3"/>
      <c r="H99" s="3"/>
      <c r="I99" s="3"/>
      <c r="J99" s="3"/>
      <c r="K99" s="3"/>
      <c r="L99" s="3"/>
      <c r="M99" s="3"/>
      <c r="N99" s="3"/>
      <c r="O99" s="3"/>
      <c r="P99" s="3"/>
      <c r="Q99" s="3"/>
      <c r="R99" s="3"/>
      <c r="S99" s="3"/>
      <c r="T99" s="3"/>
      <c r="U99" s="3"/>
      <c r="V99" s="3"/>
      <c r="W99" s="3"/>
      <c r="X99" s="3"/>
      <c r="Y99" s="3"/>
      <c r="Z99" s="3"/>
      <c r="AA99" s="3"/>
      <c r="AB99" s="3"/>
      <c r="AC99" s="3"/>
      <c r="AD99" s="3"/>
    </row>
    <row r="100" ht="15.75" customHeight="1">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row>
    <row r="101" ht="15.75" customHeight="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row>
    <row r="102" ht="15.75" customHeight="1">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row>
    <row r="103" ht="15.75" customHeight="1">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row>
    <row r="104" ht="15.75" customHeight="1">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row>
    <row r="105" ht="15.75" customHeight="1">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row>
    <row r="106" ht="15.75" customHeight="1">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row>
    <row r="107" ht="15.75" customHeight="1">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row>
    <row r="108" ht="15.75" customHeight="1">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row>
    <row r="109" ht="15.75" customHeight="1">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row>
    <row r="110" ht="15.75" customHeight="1">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row>
    <row r="111" ht="15.75" customHeight="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row>
    <row r="112" ht="15.75" customHeight="1">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row>
    <row r="113" ht="15.75" customHeight="1">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row>
    <row r="114" ht="15.75" customHeight="1">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row>
    <row r="115" ht="15.75" customHeight="1">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row>
    <row r="116" ht="15.75" customHeight="1">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row>
    <row r="117" ht="15.75" customHeight="1">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row>
    <row r="118" ht="15.75" customHeight="1">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row>
    <row r="119" ht="15.75" customHeight="1">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row>
    <row r="120" ht="15.75" customHeight="1">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row>
    <row r="121" ht="15.75" customHeight="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row>
    <row r="122" ht="15.75" customHeight="1">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row>
    <row r="123" ht="15.75" customHeight="1">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row>
    <row r="124" ht="15.75" customHeight="1">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row>
    <row r="125" ht="15.75" customHeight="1">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row>
    <row r="126" ht="15.75" customHeight="1">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row>
    <row r="127" ht="15.75" customHeight="1">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row>
    <row r="128" ht="15.75" customHeight="1">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row>
    <row r="129" ht="15.75" customHeight="1">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row>
    <row r="130" ht="15.75" customHeight="1">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row>
    <row r="131" ht="15.75" customHeight="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row>
    <row r="132" ht="15.75" customHeight="1">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row>
    <row r="133" ht="15.75" customHeight="1">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row>
    <row r="134" ht="15.75" customHeight="1">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row>
    <row r="135" ht="15.75" customHeight="1">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row>
    <row r="136" ht="15.75" customHeight="1">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row>
    <row r="137" ht="15.75" customHeight="1">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row>
    <row r="138" ht="15.75" customHeight="1">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row>
    <row r="139" ht="15.75" customHeight="1">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row>
    <row r="140" ht="15.75" customHeight="1">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row>
    <row r="141" ht="15.75" customHeight="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row>
    <row r="142" ht="15.75" customHeight="1">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row>
    <row r="143" ht="15.75" customHeight="1">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row>
    <row r="144" ht="15.75" customHeight="1">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row>
    <row r="145" ht="15.75" customHeight="1">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row>
    <row r="146" ht="15.75" customHeight="1">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row>
    <row r="147" ht="15.75" customHeight="1">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row>
    <row r="148" ht="15.75" customHeight="1">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row>
    <row r="149" ht="15.75" customHeight="1">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row>
    <row r="150" ht="15.75" customHeight="1">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row>
    <row r="151" ht="15.75" customHeight="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row>
    <row r="152" ht="15.75" customHeight="1">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row>
    <row r="153" ht="15.75" customHeight="1">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row>
    <row r="154" ht="15.75" customHeight="1">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row>
    <row r="155" ht="15.75" customHeight="1">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row>
    <row r="156" ht="15.75" customHeight="1">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row>
    <row r="157" ht="15.75" customHeight="1">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row>
    <row r="158" ht="15.75" customHeight="1">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row>
    <row r="159" ht="15.75" customHeight="1">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row>
    <row r="160" ht="15.75" customHeight="1">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row>
    <row r="161" ht="15.75" customHeight="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row>
    <row r="162" ht="15.75" customHeight="1">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row>
    <row r="163" ht="15.75"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row>
    <row r="164" ht="15.75" customHeight="1">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row>
    <row r="165" ht="15.75" customHeight="1">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row>
    <row r="166" ht="15.75"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row>
    <row r="167" ht="15.75" customHeight="1">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row>
    <row r="168" ht="15.75" customHeight="1">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row>
    <row r="169" ht="15.75"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row>
    <row r="170" ht="15.75" customHeight="1">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row>
    <row r="171" ht="15.75" customHeight="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row>
    <row r="172" ht="15.75" customHeight="1">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row>
    <row r="173" ht="15.75"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row>
    <row r="174" ht="15.75"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row>
    <row r="175" ht="15.75"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row>
    <row r="176" ht="15.75"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row>
    <row r="177" ht="15.75" customHeight="1">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row>
    <row r="178" ht="15.75"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c r="AD178" s="3"/>
    </row>
    <row r="179" ht="15.75" customHeight="1">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c r="AD179" s="3"/>
    </row>
    <row r="180" ht="15.75" customHeight="1">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c r="AD180" s="3"/>
    </row>
    <row r="181" ht="15.75"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c r="AD181" s="3"/>
    </row>
    <row r="182" ht="15.75"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c r="AD182" s="3"/>
    </row>
    <row r="183" ht="15.75"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row>
    <row r="184" ht="15.75"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row>
    <row r="185" ht="15.75"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row>
    <row r="186" ht="15.75"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c r="AD186" s="3"/>
    </row>
    <row r="187" ht="15.75"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row>
    <row r="188" ht="15.75" customHeight="1">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c r="AD188" s="3"/>
    </row>
    <row r="189" ht="15.75"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c r="AD189" s="3"/>
    </row>
    <row r="190" ht="15.75" customHeight="1">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row>
    <row r="191" ht="15.75" customHeight="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row>
    <row r="192" ht="15.75"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c r="AC192" s="3"/>
      <c r="AD192" s="3"/>
    </row>
    <row r="193" ht="15.75" customHeight="1">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c r="AC193" s="3"/>
      <c r="AD193" s="3"/>
    </row>
    <row r="194" ht="15.75"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c r="AC194" s="3"/>
      <c r="AD194" s="3"/>
    </row>
    <row r="195" ht="15.75"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c r="AC195" s="3"/>
      <c r="AD195" s="3"/>
    </row>
    <row r="196" ht="15.75"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c r="AC196" s="3"/>
      <c r="AD196" s="3"/>
    </row>
    <row r="197" ht="15.75" customHeight="1">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c r="AC197" s="3"/>
      <c r="AD197" s="3"/>
    </row>
    <row r="198" ht="15.75"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c r="AC198" s="3"/>
      <c r="AD198" s="3"/>
    </row>
    <row r="199" ht="15.75"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c r="AC199" s="3"/>
      <c r="AD199" s="3"/>
    </row>
    <row r="200" ht="15.75" customHeight="1">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c r="AA200" s="3"/>
      <c r="AB200" s="3"/>
      <c r="AC200" s="3"/>
      <c r="AD200" s="3"/>
    </row>
    <row r="201" ht="15.75" customHeight="1">
      <c r="A201" s="14"/>
      <c r="B201" s="14"/>
      <c r="C201" s="14"/>
      <c r="D201" s="14"/>
      <c r="E201" s="14"/>
      <c r="F201" s="14"/>
      <c r="G201" s="14"/>
      <c r="H201" s="14"/>
      <c r="I201" s="14"/>
      <c r="J201" s="14"/>
      <c r="K201" s="14"/>
      <c r="L201" s="14"/>
      <c r="M201" s="14"/>
      <c r="N201" s="14"/>
      <c r="O201" s="14"/>
      <c r="P201" s="14"/>
      <c r="Q201" s="14"/>
      <c r="R201" s="14"/>
      <c r="S201" s="14"/>
      <c r="T201" s="14"/>
      <c r="U201" s="14"/>
      <c r="V201" s="14"/>
      <c r="W201" s="14"/>
      <c r="X201" s="14"/>
      <c r="Y201" s="14"/>
      <c r="Z201" s="14"/>
      <c r="AA201" s="14"/>
      <c r="AB201" s="14"/>
      <c r="AC201" s="14"/>
      <c r="AD201" s="14"/>
    </row>
    <row r="202" ht="15.75" customHeight="1">
      <c r="A202" s="14"/>
      <c r="B202" s="14"/>
      <c r="C202" s="14"/>
      <c r="D202" s="14"/>
      <c r="E202" s="14"/>
      <c r="F202" s="14"/>
      <c r="G202" s="14"/>
      <c r="H202" s="14"/>
      <c r="I202" s="14"/>
      <c r="J202" s="14"/>
      <c r="K202" s="14"/>
      <c r="L202" s="14"/>
      <c r="M202" s="14"/>
      <c r="N202" s="14"/>
      <c r="O202" s="14"/>
      <c r="P202" s="14"/>
      <c r="Q202" s="14"/>
      <c r="R202" s="14"/>
      <c r="S202" s="14"/>
      <c r="T202" s="14"/>
      <c r="U202" s="14"/>
      <c r="V202" s="14"/>
      <c r="W202" s="14"/>
      <c r="X202" s="14"/>
      <c r="Y202" s="14"/>
      <c r="Z202" s="14"/>
      <c r="AA202" s="14"/>
      <c r="AB202" s="14"/>
      <c r="AC202" s="14"/>
      <c r="AD202" s="14"/>
    </row>
    <row r="203" ht="15.75" customHeight="1">
      <c r="A203" s="14"/>
      <c r="B203" s="14"/>
      <c r="C203" s="14"/>
      <c r="D203" s="14"/>
      <c r="E203" s="14"/>
      <c r="F203" s="14"/>
      <c r="G203" s="14"/>
      <c r="H203" s="14"/>
      <c r="I203" s="14"/>
      <c r="J203" s="14"/>
      <c r="K203" s="14"/>
      <c r="L203" s="14"/>
      <c r="M203" s="14"/>
      <c r="N203" s="14"/>
      <c r="O203" s="14"/>
      <c r="P203" s="14"/>
      <c r="Q203" s="14"/>
      <c r="R203" s="14"/>
      <c r="S203" s="14"/>
      <c r="T203" s="14"/>
      <c r="U203" s="14"/>
      <c r="V203" s="14"/>
      <c r="W203" s="14"/>
      <c r="X203" s="14"/>
      <c r="Y203" s="14"/>
      <c r="Z203" s="14"/>
      <c r="AA203" s="14"/>
      <c r="AB203" s="14"/>
      <c r="AC203" s="14"/>
      <c r="AD203" s="14"/>
    </row>
    <row r="204" ht="15.75" customHeight="1">
      <c r="A204" s="14"/>
      <c r="B204" s="14"/>
      <c r="C204" s="14"/>
      <c r="D204" s="14"/>
      <c r="E204" s="14"/>
      <c r="F204" s="14"/>
      <c r="G204" s="14"/>
      <c r="H204" s="14"/>
      <c r="I204" s="14"/>
      <c r="J204" s="14"/>
      <c r="K204" s="14"/>
      <c r="L204" s="14"/>
      <c r="M204" s="14"/>
      <c r="N204" s="14"/>
      <c r="O204" s="14"/>
      <c r="P204" s="14"/>
      <c r="Q204" s="14"/>
      <c r="R204" s="14"/>
      <c r="S204" s="14"/>
      <c r="T204" s="14"/>
      <c r="U204" s="14"/>
      <c r="V204" s="14"/>
      <c r="W204" s="14"/>
      <c r="X204" s="14"/>
      <c r="Y204" s="14"/>
      <c r="Z204" s="14"/>
      <c r="AA204" s="14"/>
      <c r="AB204" s="14"/>
      <c r="AC204" s="14"/>
      <c r="AD204" s="14"/>
    </row>
    <row r="205" ht="15.75" customHeight="1">
      <c r="A205" s="14"/>
      <c r="B205" s="14"/>
      <c r="C205" s="14"/>
      <c r="D205" s="14"/>
      <c r="E205" s="14"/>
      <c r="F205" s="14"/>
      <c r="G205" s="14"/>
      <c r="H205" s="14"/>
      <c r="I205" s="14"/>
      <c r="J205" s="14"/>
      <c r="K205" s="14"/>
      <c r="L205" s="14"/>
      <c r="M205" s="14"/>
      <c r="N205" s="14"/>
      <c r="O205" s="14"/>
      <c r="P205" s="14"/>
      <c r="Q205" s="14"/>
      <c r="R205" s="14"/>
      <c r="S205" s="14"/>
      <c r="T205" s="14"/>
      <c r="U205" s="14"/>
      <c r="V205" s="14"/>
      <c r="W205" s="14"/>
      <c r="X205" s="14"/>
      <c r="Y205" s="14"/>
      <c r="Z205" s="14"/>
      <c r="AA205" s="14"/>
      <c r="AB205" s="14"/>
      <c r="AC205" s="14"/>
      <c r="AD205" s="14"/>
    </row>
    <row r="206" ht="15.75" customHeight="1">
      <c r="A206" s="14"/>
      <c r="B206" s="14"/>
      <c r="C206" s="14"/>
      <c r="D206" s="14"/>
      <c r="E206" s="14"/>
      <c r="F206" s="14"/>
      <c r="G206" s="14"/>
      <c r="H206" s="14"/>
      <c r="I206" s="14"/>
      <c r="J206" s="14"/>
      <c r="K206" s="14"/>
      <c r="L206" s="14"/>
      <c r="M206" s="14"/>
      <c r="N206" s="14"/>
      <c r="O206" s="14"/>
      <c r="P206" s="14"/>
      <c r="Q206" s="14"/>
      <c r="R206" s="14"/>
      <c r="S206" s="14"/>
      <c r="T206" s="14"/>
      <c r="U206" s="14"/>
      <c r="V206" s="14"/>
      <c r="W206" s="14"/>
      <c r="X206" s="14"/>
      <c r="Y206" s="14"/>
      <c r="Z206" s="14"/>
      <c r="AA206" s="14"/>
      <c r="AB206" s="14"/>
      <c r="AC206" s="14"/>
      <c r="AD206" s="14"/>
    </row>
    <row r="207" ht="15.75" customHeight="1">
      <c r="A207" s="14"/>
      <c r="B207" s="14"/>
      <c r="C207" s="14"/>
      <c r="D207" s="14"/>
      <c r="E207" s="14"/>
      <c r="F207" s="14"/>
      <c r="G207" s="14"/>
      <c r="H207" s="14"/>
      <c r="I207" s="14"/>
      <c r="J207" s="14"/>
      <c r="K207" s="14"/>
      <c r="L207" s="14"/>
      <c r="M207" s="14"/>
      <c r="N207" s="14"/>
      <c r="O207" s="14"/>
      <c r="P207" s="14"/>
      <c r="Q207" s="14"/>
      <c r="R207" s="14"/>
      <c r="S207" s="14"/>
      <c r="T207" s="14"/>
      <c r="U207" s="14"/>
      <c r="V207" s="14"/>
      <c r="W207" s="14"/>
      <c r="X207" s="14"/>
      <c r="Y207" s="14"/>
      <c r="Z207" s="14"/>
      <c r="AA207" s="14"/>
      <c r="AB207" s="14"/>
      <c r="AC207" s="14"/>
      <c r="AD207" s="14"/>
    </row>
    <row r="208" ht="15.75" customHeight="1">
      <c r="A208" s="14"/>
      <c r="B208" s="14"/>
      <c r="C208" s="14"/>
      <c r="D208" s="14"/>
      <c r="E208" s="14"/>
      <c r="F208" s="14"/>
      <c r="G208" s="14"/>
      <c r="H208" s="14"/>
      <c r="I208" s="14"/>
      <c r="J208" s="14"/>
      <c r="K208" s="14"/>
      <c r="L208" s="14"/>
      <c r="M208" s="14"/>
      <c r="N208" s="14"/>
      <c r="O208" s="14"/>
      <c r="P208" s="14"/>
      <c r="Q208" s="14"/>
      <c r="R208" s="14"/>
      <c r="S208" s="14"/>
      <c r="T208" s="14"/>
      <c r="U208" s="14"/>
      <c r="V208" s="14"/>
      <c r="W208" s="14"/>
      <c r="X208" s="14"/>
      <c r="Y208" s="14"/>
      <c r="Z208" s="14"/>
      <c r="AA208" s="14"/>
      <c r="AB208" s="14"/>
      <c r="AC208" s="14"/>
      <c r="AD208" s="14"/>
    </row>
    <row r="209" ht="15.75" customHeight="1">
      <c r="A209" s="14"/>
      <c r="B209" s="14"/>
      <c r="C209" s="14"/>
      <c r="D209" s="14"/>
      <c r="E209" s="14"/>
      <c r="F209" s="14"/>
      <c r="G209" s="14"/>
      <c r="H209" s="14"/>
      <c r="I209" s="14"/>
      <c r="J209" s="14"/>
      <c r="K209" s="14"/>
      <c r="L209" s="14"/>
      <c r="M209" s="14"/>
      <c r="N209" s="14"/>
      <c r="O209" s="14"/>
      <c r="P209" s="14"/>
      <c r="Q209" s="14"/>
      <c r="R209" s="14"/>
      <c r="S209" s="14"/>
      <c r="T209" s="14"/>
      <c r="U209" s="14"/>
      <c r="V209" s="14"/>
      <c r="W209" s="14"/>
      <c r="X209" s="14"/>
      <c r="Y209" s="14"/>
      <c r="Z209" s="14"/>
      <c r="AA209" s="14"/>
      <c r="AB209" s="14"/>
      <c r="AC209" s="14"/>
      <c r="AD209" s="14"/>
    </row>
    <row r="210" ht="15.75" customHeight="1">
      <c r="A210" s="14"/>
      <c r="B210" s="14"/>
      <c r="C210" s="14"/>
      <c r="D210" s="14"/>
      <c r="E210" s="14"/>
      <c r="F210" s="14"/>
      <c r="G210" s="14"/>
      <c r="H210" s="14"/>
      <c r="I210" s="14"/>
      <c r="J210" s="14"/>
      <c r="K210" s="14"/>
      <c r="L210" s="14"/>
      <c r="M210" s="14"/>
      <c r="N210" s="14"/>
      <c r="O210" s="14"/>
      <c r="P210" s="14"/>
      <c r="Q210" s="14"/>
      <c r="R210" s="14"/>
      <c r="S210" s="14"/>
      <c r="T210" s="14"/>
      <c r="U210" s="14"/>
      <c r="V210" s="14"/>
      <c r="W210" s="14"/>
      <c r="X210" s="14"/>
      <c r="Y210" s="14"/>
      <c r="Z210" s="14"/>
      <c r="AA210" s="14"/>
      <c r="AB210" s="14"/>
      <c r="AC210" s="14"/>
      <c r="AD210" s="14"/>
    </row>
    <row r="211" ht="15.75" customHeight="1">
      <c r="A211" s="14"/>
      <c r="B211" s="14"/>
      <c r="C211" s="14"/>
      <c r="D211" s="14"/>
      <c r="E211" s="14"/>
      <c r="F211" s="14"/>
      <c r="G211" s="14"/>
      <c r="H211" s="14"/>
      <c r="I211" s="14"/>
      <c r="J211" s="14"/>
      <c r="K211" s="14"/>
      <c r="L211" s="14"/>
      <c r="M211" s="14"/>
      <c r="N211" s="14"/>
      <c r="O211" s="14"/>
      <c r="P211" s="14"/>
      <c r="Q211" s="14"/>
      <c r="R211" s="14"/>
      <c r="S211" s="14"/>
      <c r="T211" s="14"/>
      <c r="U211" s="14"/>
      <c r="V211" s="14"/>
      <c r="W211" s="14"/>
      <c r="X211" s="14"/>
      <c r="Y211" s="14"/>
      <c r="Z211" s="14"/>
      <c r="AA211" s="14"/>
      <c r="AB211" s="14"/>
      <c r="AC211" s="14"/>
      <c r="AD211" s="14"/>
    </row>
    <row r="212" ht="15.75" customHeight="1">
      <c r="A212" s="14"/>
      <c r="B212" s="14"/>
      <c r="C212" s="14"/>
      <c r="D212" s="14"/>
      <c r="E212" s="14"/>
      <c r="F212" s="14"/>
      <c r="G212" s="14"/>
      <c r="H212" s="14"/>
      <c r="I212" s="14"/>
      <c r="J212" s="14"/>
      <c r="K212" s="14"/>
      <c r="L212" s="14"/>
      <c r="M212" s="14"/>
      <c r="N212" s="14"/>
      <c r="O212" s="14"/>
      <c r="P212" s="14"/>
      <c r="Q212" s="14"/>
      <c r="R212" s="14"/>
      <c r="S212" s="14"/>
      <c r="T212" s="14"/>
      <c r="U212" s="14"/>
      <c r="V212" s="14"/>
      <c r="W212" s="14"/>
      <c r="X212" s="14"/>
      <c r="Y212" s="14"/>
      <c r="Z212" s="14"/>
      <c r="AA212" s="14"/>
      <c r="AB212" s="14"/>
      <c r="AC212" s="14"/>
      <c r="AD212" s="14"/>
    </row>
    <row r="213" ht="15.75" customHeight="1">
      <c r="A213" s="14"/>
      <c r="B213" s="14"/>
      <c r="C213" s="14"/>
      <c r="D213" s="14"/>
      <c r="E213" s="14"/>
      <c r="F213" s="14"/>
      <c r="G213" s="14"/>
      <c r="H213" s="14"/>
      <c r="I213" s="14"/>
      <c r="J213" s="14"/>
      <c r="K213" s="14"/>
      <c r="L213" s="14"/>
      <c r="M213" s="14"/>
      <c r="N213" s="14"/>
      <c r="O213" s="14"/>
      <c r="P213" s="14"/>
      <c r="Q213" s="14"/>
      <c r="R213" s="14"/>
      <c r="S213" s="14"/>
      <c r="T213" s="14"/>
      <c r="U213" s="14"/>
      <c r="V213" s="14"/>
      <c r="W213" s="14"/>
      <c r="X213" s="14"/>
      <c r="Y213" s="14"/>
      <c r="Z213" s="14"/>
      <c r="AA213" s="14"/>
      <c r="AB213" s="14"/>
      <c r="AC213" s="14"/>
      <c r="AD213" s="14"/>
    </row>
    <row r="214" ht="15.75" customHeight="1">
      <c r="A214" s="14"/>
      <c r="B214" s="14"/>
      <c r="C214" s="14"/>
      <c r="D214" s="14"/>
      <c r="E214" s="14"/>
      <c r="F214" s="14"/>
      <c r="G214" s="14"/>
      <c r="H214" s="14"/>
      <c r="I214" s="14"/>
      <c r="J214" s="14"/>
      <c r="K214" s="14"/>
      <c r="L214" s="14"/>
      <c r="M214" s="14"/>
      <c r="N214" s="14"/>
      <c r="O214" s="14"/>
      <c r="P214" s="14"/>
      <c r="Q214" s="14"/>
      <c r="R214" s="14"/>
      <c r="S214" s="14"/>
      <c r="T214" s="14"/>
      <c r="U214" s="14"/>
      <c r="V214" s="14"/>
      <c r="W214" s="14"/>
      <c r="X214" s="14"/>
      <c r="Y214" s="14"/>
      <c r="Z214" s="14"/>
      <c r="AA214" s="14"/>
      <c r="AB214" s="14"/>
      <c r="AC214" s="14"/>
      <c r="AD214" s="14"/>
    </row>
    <row r="215" ht="15.75" customHeight="1">
      <c r="A215" s="14"/>
      <c r="B215" s="14"/>
      <c r="C215" s="14"/>
      <c r="D215" s="14"/>
      <c r="E215" s="14"/>
      <c r="F215" s="14"/>
      <c r="G215" s="14"/>
      <c r="H215" s="14"/>
      <c r="I215" s="14"/>
      <c r="J215" s="14"/>
      <c r="K215" s="14"/>
      <c r="L215" s="14"/>
      <c r="M215" s="14"/>
      <c r="N215" s="14"/>
      <c r="O215" s="14"/>
      <c r="P215" s="14"/>
      <c r="Q215" s="14"/>
      <c r="R215" s="14"/>
      <c r="S215" s="14"/>
      <c r="T215" s="14"/>
      <c r="U215" s="14"/>
      <c r="V215" s="14"/>
      <c r="W215" s="14"/>
      <c r="X215" s="14"/>
      <c r="Y215" s="14"/>
      <c r="Z215" s="14"/>
      <c r="AA215" s="14"/>
      <c r="AB215" s="14"/>
      <c r="AC215" s="14"/>
      <c r="AD215" s="14"/>
    </row>
    <row r="216" ht="15.75" customHeight="1">
      <c r="A216" s="14"/>
      <c r="B216" s="14"/>
      <c r="C216" s="14"/>
      <c r="D216" s="14"/>
      <c r="E216" s="14"/>
      <c r="F216" s="14"/>
      <c r="G216" s="14"/>
      <c r="H216" s="14"/>
      <c r="I216" s="14"/>
      <c r="J216" s="14"/>
      <c r="K216" s="14"/>
      <c r="L216" s="14"/>
      <c r="M216" s="14"/>
      <c r="N216" s="14"/>
      <c r="O216" s="14"/>
      <c r="P216" s="14"/>
      <c r="Q216" s="14"/>
      <c r="R216" s="14"/>
      <c r="S216" s="14"/>
      <c r="T216" s="14"/>
      <c r="U216" s="14"/>
      <c r="V216" s="14"/>
      <c r="W216" s="14"/>
      <c r="X216" s="14"/>
      <c r="Y216" s="14"/>
      <c r="Z216" s="14"/>
      <c r="AA216" s="14"/>
      <c r="AB216" s="14"/>
      <c r="AC216" s="14"/>
      <c r="AD216" s="14"/>
    </row>
    <row r="217" ht="15.75" customHeight="1">
      <c r="A217" s="14"/>
      <c r="B217" s="14"/>
      <c r="C217" s="14"/>
      <c r="D217" s="14"/>
      <c r="E217" s="14"/>
      <c r="F217" s="14"/>
      <c r="G217" s="14"/>
      <c r="H217" s="14"/>
      <c r="I217" s="14"/>
      <c r="J217" s="14"/>
      <c r="K217" s="14"/>
      <c r="L217" s="14"/>
      <c r="M217" s="14"/>
      <c r="N217" s="14"/>
      <c r="O217" s="14"/>
      <c r="P217" s="14"/>
      <c r="Q217" s="14"/>
      <c r="R217" s="14"/>
      <c r="S217" s="14"/>
      <c r="T217" s="14"/>
      <c r="U217" s="14"/>
      <c r="V217" s="14"/>
      <c r="W217" s="14"/>
      <c r="X217" s="14"/>
      <c r="Y217" s="14"/>
      <c r="Z217" s="14"/>
      <c r="AA217" s="14"/>
      <c r="AB217" s="14"/>
      <c r="AC217" s="14"/>
      <c r="AD217" s="14"/>
    </row>
    <row r="218" ht="15.75" customHeight="1">
      <c r="A218" s="14"/>
      <c r="B218" s="14"/>
      <c r="C218" s="14"/>
      <c r="D218" s="14"/>
      <c r="E218" s="14"/>
      <c r="F218" s="14"/>
      <c r="G218" s="14"/>
      <c r="H218" s="14"/>
      <c r="I218" s="14"/>
      <c r="J218" s="14"/>
      <c r="K218" s="14"/>
      <c r="L218" s="14"/>
      <c r="M218" s="14"/>
      <c r="N218" s="14"/>
      <c r="O218" s="14"/>
      <c r="P218" s="14"/>
      <c r="Q218" s="14"/>
      <c r="R218" s="14"/>
      <c r="S218" s="14"/>
      <c r="T218" s="14"/>
      <c r="U218" s="14"/>
      <c r="V218" s="14"/>
      <c r="W218" s="14"/>
      <c r="X218" s="14"/>
      <c r="Y218" s="14"/>
      <c r="Z218" s="14"/>
      <c r="AA218" s="14"/>
      <c r="AB218" s="14"/>
      <c r="AC218" s="14"/>
      <c r="AD218" s="14"/>
    </row>
    <row r="219" ht="15.75" customHeight="1">
      <c r="A219" s="14"/>
      <c r="B219" s="14"/>
      <c r="C219" s="14"/>
      <c r="D219" s="14"/>
      <c r="E219" s="14"/>
      <c r="F219" s="14"/>
      <c r="G219" s="14"/>
      <c r="H219" s="14"/>
      <c r="I219" s="14"/>
      <c r="J219" s="14"/>
      <c r="K219" s="14"/>
      <c r="L219" s="14"/>
      <c r="M219" s="14"/>
      <c r="N219" s="14"/>
      <c r="O219" s="14"/>
      <c r="P219" s="14"/>
      <c r="Q219" s="14"/>
      <c r="R219" s="14"/>
      <c r="S219" s="14"/>
      <c r="T219" s="14"/>
      <c r="U219" s="14"/>
      <c r="V219" s="14"/>
      <c r="W219" s="14"/>
      <c r="X219" s="14"/>
      <c r="Y219" s="14"/>
      <c r="Z219" s="14"/>
      <c r="AA219" s="14"/>
      <c r="AB219" s="14"/>
      <c r="AC219" s="14"/>
      <c r="AD219" s="14"/>
    </row>
    <row r="220" ht="15.75" customHeight="1">
      <c r="A220" s="14"/>
      <c r="B220" s="14"/>
      <c r="C220" s="14"/>
      <c r="D220" s="14"/>
      <c r="E220" s="14"/>
      <c r="F220" s="14"/>
      <c r="G220" s="14"/>
      <c r="H220" s="14"/>
      <c r="I220" s="14"/>
      <c r="J220" s="14"/>
      <c r="K220" s="14"/>
      <c r="L220" s="14"/>
      <c r="M220" s="14"/>
      <c r="N220" s="14"/>
      <c r="O220" s="14"/>
      <c r="P220" s="14"/>
      <c r="Q220" s="14"/>
      <c r="R220" s="14"/>
      <c r="S220" s="14"/>
      <c r="T220" s="14"/>
      <c r="U220" s="14"/>
      <c r="V220" s="14"/>
      <c r="W220" s="14"/>
      <c r="X220" s="14"/>
      <c r="Y220" s="14"/>
      <c r="Z220" s="14"/>
      <c r="AA220" s="14"/>
      <c r="AB220" s="14"/>
      <c r="AC220" s="14"/>
      <c r="AD220" s="14"/>
    </row>
    <row r="221" ht="15.75" customHeight="1">
      <c r="A221" s="14"/>
      <c r="B221" s="14"/>
      <c r="C221" s="14"/>
      <c r="D221" s="14"/>
      <c r="E221" s="14"/>
      <c r="F221" s="14"/>
      <c r="G221" s="14"/>
      <c r="H221" s="14"/>
      <c r="I221" s="14"/>
      <c r="J221" s="14"/>
      <c r="K221" s="14"/>
      <c r="L221" s="14"/>
      <c r="M221" s="14"/>
      <c r="N221" s="14"/>
      <c r="O221" s="14"/>
      <c r="P221" s="14"/>
      <c r="Q221" s="14"/>
      <c r="R221" s="14"/>
      <c r="S221" s="14"/>
      <c r="T221" s="14"/>
      <c r="U221" s="14"/>
      <c r="V221" s="14"/>
      <c r="W221" s="14"/>
      <c r="X221" s="14"/>
      <c r="Y221" s="14"/>
      <c r="Z221" s="14"/>
      <c r="AA221" s="14"/>
      <c r="AB221" s="14"/>
      <c r="AC221" s="14"/>
      <c r="AD221" s="14"/>
    </row>
    <row r="222" ht="15.75" customHeight="1">
      <c r="A222" s="14"/>
      <c r="B222" s="14"/>
      <c r="C222" s="14"/>
      <c r="D222" s="14"/>
      <c r="E222" s="14"/>
      <c r="F222" s="14"/>
      <c r="G222" s="14"/>
      <c r="H222" s="14"/>
      <c r="I222" s="14"/>
      <c r="J222" s="14"/>
      <c r="K222" s="14"/>
      <c r="L222" s="14"/>
      <c r="M222" s="14"/>
      <c r="N222" s="14"/>
      <c r="O222" s="14"/>
      <c r="P222" s="14"/>
      <c r="Q222" s="14"/>
      <c r="R222" s="14"/>
      <c r="S222" s="14"/>
      <c r="T222" s="14"/>
      <c r="U222" s="14"/>
      <c r="V222" s="14"/>
      <c r="W222" s="14"/>
      <c r="X222" s="14"/>
      <c r="Y222" s="14"/>
      <c r="Z222" s="14"/>
      <c r="AA222" s="14"/>
      <c r="AB222" s="14"/>
      <c r="AC222" s="14"/>
      <c r="AD222" s="14"/>
    </row>
    <row r="223" ht="15.75" customHeight="1">
      <c r="A223" s="14"/>
      <c r="B223" s="14"/>
      <c r="C223" s="14"/>
      <c r="D223" s="14"/>
      <c r="E223" s="14"/>
      <c r="F223" s="14"/>
      <c r="G223" s="14"/>
      <c r="H223" s="14"/>
      <c r="I223" s="14"/>
      <c r="J223" s="14"/>
      <c r="K223" s="14"/>
      <c r="L223" s="14"/>
      <c r="M223" s="14"/>
      <c r="N223" s="14"/>
      <c r="O223" s="14"/>
      <c r="P223" s="14"/>
      <c r="Q223" s="14"/>
      <c r="R223" s="14"/>
      <c r="S223" s="14"/>
      <c r="T223" s="14"/>
      <c r="U223" s="14"/>
      <c r="V223" s="14"/>
      <c r="W223" s="14"/>
      <c r="X223" s="14"/>
      <c r="Y223" s="14"/>
      <c r="Z223" s="14"/>
      <c r="AA223" s="14"/>
      <c r="AB223" s="14"/>
      <c r="AC223" s="14"/>
      <c r="AD223" s="14"/>
    </row>
    <row r="224" ht="15.75" customHeight="1">
      <c r="A224" s="14"/>
      <c r="B224" s="14"/>
      <c r="C224" s="14"/>
      <c r="D224" s="14"/>
      <c r="E224" s="14"/>
      <c r="F224" s="14"/>
      <c r="G224" s="14"/>
      <c r="H224" s="14"/>
      <c r="I224" s="14"/>
      <c r="J224" s="14"/>
      <c r="K224" s="14"/>
      <c r="L224" s="14"/>
      <c r="M224" s="14"/>
      <c r="N224" s="14"/>
      <c r="O224" s="14"/>
      <c r="P224" s="14"/>
      <c r="Q224" s="14"/>
      <c r="R224" s="14"/>
      <c r="S224" s="14"/>
      <c r="T224" s="14"/>
      <c r="U224" s="14"/>
      <c r="V224" s="14"/>
      <c r="W224" s="14"/>
      <c r="X224" s="14"/>
      <c r="Y224" s="14"/>
      <c r="Z224" s="14"/>
      <c r="AA224" s="14"/>
      <c r="AB224" s="14"/>
      <c r="AC224" s="14"/>
      <c r="AD224" s="14"/>
    </row>
    <row r="225" ht="15.75" customHeight="1">
      <c r="A225" s="14"/>
      <c r="B225" s="14"/>
      <c r="C225" s="14"/>
      <c r="D225" s="14"/>
      <c r="E225" s="14"/>
      <c r="F225" s="14"/>
      <c r="G225" s="14"/>
      <c r="H225" s="14"/>
      <c r="I225" s="14"/>
      <c r="J225" s="14"/>
      <c r="K225" s="14"/>
      <c r="L225" s="14"/>
      <c r="M225" s="14"/>
      <c r="N225" s="14"/>
      <c r="O225" s="14"/>
      <c r="P225" s="14"/>
      <c r="Q225" s="14"/>
      <c r="R225" s="14"/>
      <c r="S225" s="14"/>
      <c r="T225" s="14"/>
      <c r="U225" s="14"/>
      <c r="V225" s="14"/>
      <c r="W225" s="14"/>
      <c r="X225" s="14"/>
      <c r="Y225" s="14"/>
      <c r="Z225" s="14"/>
      <c r="AA225" s="14"/>
      <c r="AB225" s="14"/>
      <c r="AC225" s="14"/>
      <c r="AD225" s="14"/>
    </row>
    <row r="226" ht="15.75" customHeight="1">
      <c r="A226" s="14"/>
      <c r="B226" s="14"/>
      <c r="C226" s="14"/>
      <c r="D226" s="14"/>
      <c r="E226" s="14"/>
      <c r="F226" s="14"/>
      <c r="G226" s="14"/>
      <c r="H226" s="14"/>
      <c r="I226" s="14"/>
      <c r="J226" s="14"/>
      <c r="K226" s="14"/>
      <c r="L226" s="14"/>
      <c r="M226" s="14"/>
      <c r="N226" s="14"/>
      <c r="O226" s="14"/>
      <c r="P226" s="14"/>
      <c r="Q226" s="14"/>
      <c r="R226" s="14"/>
      <c r="S226" s="14"/>
      <c r="T226" s="14"/>
      <c r="U226" s="14"/>
      <c r="V226" s="14"/>
      <c r="W226" s="14"/>
      <c r="X226" s="14"/>
      <c r="Y226" s="14"/>
      <c r="Z226" s="14"/>
      <c r="AA226" s="14"/>
      <c r="AB226" s="14"/>
      <c r="AC226" s="14"/>
      <c r="AD226" s="14"/>
    </row>
    <row r="227" ht="15.75" customHeight="1">
      <c r="A227" s="14"/>
      <c r="B227" s="14"/>
      <c r="C227" s="14"/>
      <c r="D227" s="14"/>
      <c r="E227" s="14"/>
      <c r="F227" s="14"/>
      <c r="G227" s="14"/>
      <c r="H227" s="14"/>
      <c r="I227" s="14"/>
      <c r="J227" s="14"/>
      <c r="K227" s="14"/>
      <c r="L227" s="14"/>
      <c r="M227" s="14"/>
      <c r="N227" s="14"/>
      <c r="O227" s="14"/>
      <c r="P227" s="14"/>
      <c r="Q227" s="14"/>
      <c r="R227" s="14"/>
      <c r="S227" s="14"/>
      <c r="T227" s="14"/>
      <c r="U227" s="14"/>
      <c r="V227" s="14"/>
      <c r="W227" s="14"/>
      <c r="X227" s="14"/>
      <c r="Y227" s="14"/>
      <c r="Z227" s="14"/>
      <c r="AA227" s="14"/>
      <c r="AB227" s="14"/>
      <c r="AC227" s="14"/>
      <c r="AD227" s="14"/>
    </row>
    <row r="228" ht="15.75" customHeight="1">
      <c r="A228" s="14"/>
      <c r="B228" s="14"/>
      <c r="C228" s="14"/>
      <c r="D228" s="14"/>
      <c r="E228" s="14"/>
      <c r="F228" s="14"/>
      <c r="G228" s="14"/>
      <c r="H228" s="14"/>
      <c r="I228" s="14"/>
      <c r="J228" s="14"/>
      <c r="K228" s="14"/>
      <c r="L228" s="14"/>
      <c r="M228" s="14"/>
      <c r="N228" s="14"/>
      <c r="O228" s="14"/>
      <c r="P228" s="14"/>
      <c r="Q228" s="14"/>
      <c r="R228" s="14"/>
      <c r="S228" s="14"/>
      <c r="T228" s="14"/>
      <c r="U228" s="14"/>
      <c r="V228" s="14"/>
      <c r="W228" s="14"/>
      <c r="X228" s="14"/>
      <c r="Y228" s="14"/>
      <c r="Z228" s="14"/>
      <c r="AA228" s="14"/>
      <c r="AB228" s="14"/>
      <c r="AC228" s="14"/>
      <c r="AD228" s="14"/>
    </row>
    <row r="229" ht="15.75" customHeight="1">
      <c r="A229" s="14"/>
      <c r="B229" s="14"/>
      <c r="C229" s="14"/>
      <c r="D229" s="14"/>
      <c r="E229" s="14"/>
      <c r="F229" s="14"/>
      <c r="G229" s="14"/>
      <c r="H229" s="14"/>
      <c r="I229" s="14"/>
      <c r="J229" s="14"/>
      <c r="K229" s="14"/>
      <c r="L229" s="14"/>
      <c r="M229" s="14"/>
      <c r="N229" s="14"/>
      <c r="O229" s="14"/>
      <c r="P229" s="14"/>
      <c r="Q229" s="14"/>
      <c r="R229" s="14"/>
      <c r="S229" s="14"/>
      <c r="T229" s="14"/>
      <c r="U229" s="14"/>
      <c r="V229" s="14"/>
      <c r="W229" s="14"/>
      <c r="X229" s="14"/>
      <c r="Y229" s="14"/>
      <c r="Z229" s="14"/>
      <c r="AA229" s="14"/>
      <c r="AB229" s="14"/>
      <c r="AC229" s="14"/>
      <c r="AD229" s="14"/>
    </row>
    <row r="230" ht="15.75" customHeight="1">
      <c r="A230" s="14"/>
      <c r="B230" s="14"/>
      <c r="C230" s="14"/>
      <c r="D230" s="14"/>
      <c r="E230" s="14"/>
      <c r="F230" s="14"/>
      <c r="G230" s="14"/>
      <c r="H230" s="14"/>
      <c r="I230" s="14"/>
      <c r="J230" s="14"/>
      <c r="K230" s="14"/>
      <c r="L230" s="14"/>
      <c r="M230" s="14"/>
      <c r="N230" s="14"/>
      <c r="O230" s="14"/>
      <c r="P230" s="14"/>
      <c r="Q230" s="14"/>
      <c r="R230" s="14"/>
      <c r="S230" s="14"/>
      <c r="T230" s="14"/>
      <c r="U230" s="14"/>
      <c r="V230" s="14"/>
      <c r="W230" s="14"/>
      <c r="X230" s="14"/>
      <c r="Y230" s="14"/>
      <c r="Z230" s="14"/>
      <c r="AA230" s="14"/>
      <c r="AB230" s="14"/>
      <c r="AC230" s="14"/>
      <c r="AD230" s="14"/>
    </row>
    <row r="231" ht="15.75" customHeight="1">
      <c r="A231" s="14"/>
      <c r="B231" s="14"/>
      <c r="C231" s="14"/>
      <c r="D231" s="14"/>
      <c r="E231" s="14"/>
      <c r="F231" s="14"/>
      <c r="G231" s="14"/>
      <c r="H231" s="14"/>
      <c r="I231" s="14"/>
      <c r="J231" s="14"/>
      <c r="K231" s="14"/>
      <c r="L231" s="14"/>
      <c r="M231" s="14"/>
      <c r="N231" s="14"/>
      <c r="O231" s="14"/>
      <c r="P231" s="14"/>
      <c r="Q231" s="14"/>
      <c r="R231" s="14"/>
      <c r="S231" s="14"/>
      <c r="T231" s="14"/>
      <c r="U231" s="14"/>
      <c r="V231" s="14"/>
      <c r="W231" s="14"/>
      <c r="X231" s="14"/>
      <c r="Y231" s="14"/>
      <c r="Z231" s="14"/>
      <c r="AA231" s="14"/>
      <c r="AB231" s="14"/>
      <c r="AC231" s="14"/>
      <c r="AD231" s="14"/>
    </row>
    <row r="232" ht="15.75" customHeight="1">
      <c r="A232" s="14"/>
      <c r="B232" s="14"/>
      <c r="C232" s="14"/>
      <c r="D232" s="14"/>
      <c r="E232" s="14"/>
      <c r="F232" s="14"/>
      <c r="G232" s="14"/>
      <c r="H232" s="14"/>
      <c r="I232" s="14"/>
      <c r="J232" s="14"/>
      <c r="K232" s="14"/>
      <c r="L232" s="14"/>
      <c r="M232" s="14"/>
      <c r="N232" s="14"/>
      <c r="O232" s="14"/>
      <c r="P232" s="14"/>
      <c r="Q232" s="14"/>
      <c r="R232" s="14"/>
      <c r="S232" s="14"/>
      <c r="T232" s="14"/>
      <c r="U232" s="14"/>
      <c r="V232" s="14"/>
      <c r="W232" s="14"/>
      <c r="X232" s="14"/>
      <c r="Y232" s="14"/>
      <c r="Z232" s="14"/>
      <c r="AA232" s="14"/>
      <c r="AB232" s="14"/>
      <c r="AC232" s="14"/>
      <c r="AD232" s="14"/>
    </row>
    <row r="233" ht="15.75" customHeight="1">
      <c r="A233" s="14"/>
      <c r="B233" s="14"/>
      <c r="C233" s="14"/>
      <c r="D233" s="14"/>
      <c r="E233" s="14"/>
      <c r="F233" s="14"/>
      <c r="G233" s="14"/>
      <c r="H233" s="14"/>
      <c r="I233" s="14"/>
      <c r="J233" s="14"/>
      <c r="K233" s="14"/>
      <c r="L233" s="14"/>
      <c r="M233" s="14"/>
      <c r="N233" s="14"/>
      <c r="O233" s="14"/>
      <c r="P233" s="14"/>
      <c r="Q233" s="14"/>
      <c r="R233" s="14"/>
      <c r="S233" s="14"/>
      <c r="T233" s="14"/>
      <c r="U233" s="14"/>
      <c r="V233" s="14"/>
      <c r="W233" s="14"/>
      <c r="X233" s="14"/>
      <c r="Y233" s="14"/>
      <c r="Z233" s="14"/>
      <c r="AA233" s="14"/>
      <c r="AB233" s="14"/>
      <c r="AC233" s="14"/>
      <c r="AD233" s="14"/>
    </row>
    <row r="234" ht="15.75" customHeight="1">
      <c r="A234" s="14"/>
      <c r="B234" s="14"/>
      <c r="C234" s="14"/>
      <c r="D234" s="14"/>
      <c r="E234" s="14"/>
      <c r="F234" s="14"/>
      <c r="G234" s="14"/>
      <c r="H234" s="14"/>
      <c r="I234" s="14"/>
      <c r="J234" s="14"/>
      <c r="K234" s="14"/>
      <c r="L234" s="14"/>
      <c r="M234" s="14"/>
      <c r="N234" s="14"/>
      <c r="O234" s="14"/>
      <c r="P234" s="14"/>
      <c r="Q234" s="14"/>
      <c r="R234" s="14"/>
      <c r="S234" s="14"/>
      <c r="T234" s="14"/>
      <c r="U234" s="14"/>
      <c r="V234" s="14"/>
      <c r="W234" s="14"/>
      <c r="X234" s="14"/>
      <c r="Y234" s="14"/>
      <c r="Z234" s="14"/>
      <c r="AA234" s="14"/>
      <c r="AB234" s="14"/>
      <c r="AC234" s="14"/>
      <c r="AD234" s="14"/>
    </row>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rintOptions/>
  <pageMargins bottom="1.0" footer="0.0" header="0.0" left="0.75" right="0.75" top="1.0"/>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21</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v>
      </c>
      <c r="B2" s="1">
        <v>33.0</v>
      </c>
      <c r="C2" s="1">
        <v>81.0</v>
      </c>
      <c r="D2" s="1">
        <v>106.0</v>
      </c>
      <c r="E2" s="1">
        <v>133.0</v>
      </c>
      <c r="F2" s="1">
        <v>142.0</v>
      </c>
      <c r="G2" s="1">
        <v>114.0</v>
      </c>
      <c r="H2" s="1">
        <v>70.0</v>
      </c>
      <c r="I2" s="1">
        <v>327.0</v>
      </c>
      <c r="J2" s="1">
        <v>444.0</v>
      </c>
      <c r="K2" s="1">
        <v>211.0</v>
      </c>
      <c r="L2" s="2"/>
      <c r="M2" s="2"/>
      <c r="N2" s="2"/>
      <c r="O2" s="2"/>
      <c r="P2" s="2"/>
      <c r="Q2" s="2"/>
      <c r="R2" s="2"/>
      <c r="S2" s="2"/>
      <c r="T2" s="2"/>
      <c r="U2" s="2"/>
      <c r="V2" s="2"/>
      <c r="W2" s="2"/>
      <c r="X2" s="2"/>
      <c r="Y2" s="2"/>
      <c r="Z2" s="2"/>
    </row>
    <row r="3">
      <c r="A3" s="1" t="s">
        <v>23</v>
      </c>
      <c r="B3" s="1">
        <v>8.0</v>
      </c>
      <c r="C3" s="1">
        <v>9.0</v>
      </c>
      <c r="D3" s="1">
        <v>11.0</v>
      </c>
      <c r="E3" s="1">
        <v>13.0</v>
      </c>
      <c r="F3" s="1">
        <v>17.0</v>
      </c>
      <c r="G3" s="1">
        <v>22.0</v>
      </c>
      <c r="H3" s="1">
        <v>30.0</v>
      </c>
      <c r="I3" s="1">
        <v>40.0</v>
      </c>
      <c r="J3" s="1">
        <v>54.0</v>
      </c>
      <c r="K3" s="1">
        <v>71.0</v>
      </c>
      <c r="L3" s="2"/>
      <c r="M3" s="2"/>
      <c r="N3" s="2"/>
      <c r="O3" s="2"/>
      <c r="P3" s="2"/>
      <c r="Q3" s="2"/>
      <c r="R3" s="2"/>
      <c r="S3" s="2"/>
      <c r="T3" s="2"/>
      <c r="U3" s="2"/>
      <c r="V3" s="2"/>
      <c r="W3" s="2"/>
      <c r="X3" s="2"/>
      <c r="Y3" s="2"/>
      <c r="Z3" s="2"/>
    </row>
    <row r="4">
      <c r="A4" s="1" t="s">
        <v>24</v>
      </c>
      <c r="B4" s="1">
        <v>7.0</v>
      </c>
      <c r="C4" s="1">
        <v>11.0</v>
      </c>
      <c r="D4" s="1">
        <v>18.0</v>
      </c>
      <c r="E4" s="1">
        <v>18.0</v>
      </c>
      <c r="F4" s="1">
        <v>24.0</v>
      </c>
      <c r="G4" s="1">
        <v>36.0</v>
      </c>
      <c r="H4" s="1">
        <v>63.0</v>
      </c>
      <c r="I4" s="1">
        <v>63.0</v>
      </c>
      <c r="J4" s="1">
        <v>83.0</v>
      </c>
      <c r="K4" s="1">
        <v>89.0</v>
      </c>
      <c r="L4" s="2"/>
      <c r="M4" s="2"/>
      <c r="N4" s="2"/>
      <c r="O4" s="2"/>
      <c r="P4" s="2"/>
      <c r="Q4" s="2"/>
      <c r="R4" s="2"/>
      <c r="S4" s="2"/>
      <c r="T4" s="2"/>
      <c r="U4" s="2"/>
      <c r="V4" s="2"/>
      <c r="W4" s="2"/>
      <c r="X4" s="2"/>
      <c r="Y4" s="2"/>
      <c r="Z4" s="2"/>
    </row>
    <row r="5">
      <c r="A5" s="1" t="s">
        <v>25</v>
      </c>
      <c r="B5" s="1">
        <v>15.0</v>
      </c>
      <c r="C5" s="1">
        <v>20.0</v>
      </c>
      <c r="D5" s="1">
        <v>29.0</v>
      </c>
      <c r="E5" s="1">
        <v>32.0</v>
      </c>
      <c r="F5" s="1">
        <v>41.0</v>
      </c>
      <c r="G5" s="1">
        <v>58.0</v>
      </c>
      <c r="H5" s="1">
        <v>94.0</v>
      </c>
      <c r="I5" s="1">
        <v>104.0</v>
      </c>
      <c r="J5" s="1">
        <v>137.0</v>
      </c>
      <c r="K5" s="1">
        <v>161.0</v>
      </c>
      <c r="L5" s="2"/>
      <c r="M5" s="2"/>
      <c r="N5" s="2"/>
      <c r="O5" s="2"/>
      <c r="P5" s="2"/>
      <c r="Q5" s="2"/>
      <c r="R5" s="2"/>
      <c r="S5" s="2"/>
      <c r="T5" s="2"/>
      <c r="U5" s="2"/>
      <c r="V5" s="2"/>
      <c r="W5" s="2"/>
      <c r="X5" s="2"/>
      <c r="Y5" s="2"/>
      <c r="Z5" s="2"/>
    </row>
    <row r="6">
      <c r="A6" s="1" t="s">
        <v>26</v>
      </c>
      <c r="B6" s="1">
        <v>0.0</v>
      </c>
      <c r="C6" s="1">
        <v>0.0</v>
      </c>
      <c r="D6" s="1">
        <v>0.0</v>
      </c>
      <c r="E6" s="1">
        <v>0.0</v>
      </c>
      <c r="F6" s="1">
        <v>57.0</v>
      </c>
      <c r="G6" s="1">
        <v>59.0</v>
      </c>
      <c r="H6" s="1">
        <v>4.0</v>
      </c>
      <c r="I6" s="1">
        <v>15.0</v>
      </c>
      <c r="J6" s="1">
        <v>0.0</v>
      </c>
      <c r="K6" s="1">
        <v>0.0</v>
      </c>
      <c r="L6" s="2"/>
      <c r="M6" s="2"/>
      <c r="N6" s="2"/>
      <c r="O6" s="2"/>
      <c r="P6" s="2"/>
      <c r="Q6" s="2"/>
      <c r="R6" s="2"/>
      <c r="S6" s="2"/>
      <c r="T6" s="2"/>
      <c r="U6" s="2"/>
      <c r="V6" s="2"/>
      <c r="W6" s="2"/>
      <c r="X6" s="2"/>
      <c r="Y6" s="2"/>
      <c r="Z6" s="2"/>
    </row>
    <row r="7">
      <c r="A7" s="1" t="s">
        <v>27</v>
      </c>
      <c r="B7" s="1">
        <v>6.0</v>
      </c>
      <c r="C7" s="1">
        <v>0.0</v>
      </c>
      <c r="D7" s="1">
        <v>6.0</v>
      </c>
      <c r="E7" s="1">
        <v>22.0</v>
      </c>
      <c r="F7" s="1">
        <v>11.0</v>
      </c>
      <c r="G7" s="1">
        <v>48.0</v>
      </c>
      <c r="H7" s="1">
        <v>4.0</v>
      </c>
      <c r="I7" s="1">
        <v>2.0</v>
      </c>
      <c r="J7" s="1">
        <v>1.0</v>
      </c>
      <c r="K7" s="1">
        <v>8.0</v>
      </c>
      <c r="L7" s="2"/>
      <c r="M7" s="2"/>
      <c r="N7" s="2"/>
      <c r="O7" s="2"/>
      <c r="P7" s="2"/>
      <c r="Q7" s="2"/>
      <c r="R7" s="2"/>
      <c r="S7" s="2"/>
      <c r="T7" s="2"/>
      <c r="U7" s="2"/>
      <c r="V7" s="2"/>
      <c r="W7" s="2"/>
      <c r="X7" s="2"/>
      <c r="Y7" s="2"/>
      <c r="Z7" s="2"/>
    </row>
    <row r="8">
      <c r="A8" s="1" t="s">
        <v>28</v>
      </c>
      <c r="B8" s="1">
        <v>0.0</v>
      </c>
      <c r="C8" s="1">
        <v>0.0</v>
      </c>
      <c r="D8" s="1">
        <v>0.0</v>
      </c>
      <c r="E8" s="1">
        <v>-12.0</v>
      </c>
      <c r="F8" s="1">
        <v>-20.0</v>
      </c>
      <c r="G8" s="1">
        <v>-29.0</v>
      </c>
      <c r="H8" s="1">
        <v>-10.0</v>
      </c>
      <c r="I8" s="1">
        <v>-5.0</v>
      </c>
      <c r="J8" s="1">
        <v>74.0</v>
      </c>
      <c r="K8" s="1">
        <v>30.0</v>
      </c>
      <c r="L8" s="2"/>
      <c r="M8" s="2"/>
      <c r="N8" s="2"/>
      <c r="O8" s="2"/>
      <c r="P8" s="2"/>
      <c r="Q8" s="2"/>
      <c r="R8" s="2"/>
      <c r="S8" s="2"/>
      <c r="T8" s="2"/>
      <c r="U8" s="2"/>
      <c r="V8" s="2"/>
      <c r="W8" s="2"/>
      <c r="X8" s="2"/>
      <c r="Y8" s="2"/>
      <c r="Z8" s="2"/>
    </row>
    <row r="9">
      <c r="A9" s="1" t="s">
        <v>29</v>
      </c>
      <c r="B9" s="1">
        <v>7.0</v>
      </c>
      <c r="C9" s="1">
        <v>10.0</v>
      </c>
      <c r="D9" s="1">
        <v>11.0</v>
      </c>
      <c r="E9" s="1">
        <v>10.0</v>
      </c>
      <c r="F9" s="1">
        <v>10.0</v>
      </c>
      <c r="G9" s="1">
        <v>16.0</v>
      </c>
      <c r="H9" s="1">
        <v>22.0</v>
      </c>
      <c r="I9" s="1">
        <v>25.0</v>
      </c>
      <c r="J9" s="1">
        <v>29.0</v>
      </c>
      <c r="K9" s="1">
        <v>18.0</v>
      </c>
      <c r="L9" s="2"/>
      <c r="M9" s="2"/>
      <c r="N9" s="2"/>
      <c r="O9" s="2"/>
      <c r="P9" s="2"/>
      <c r="Q9" s="2"/>
      <c r="R9" s="2"/>
      <c r="S9" s="2"/>
      <c r="T9" s="2"/>
      <c r="U9" s="2"/>
      <c r="V9" s="2"/>
      <c r="W9" s="2"/>
      <c r="X9" s="2"/>
      <c r="Y9" s="2"/>
      <c r="Z9" s="2"/>
    </row>
    <row r="10">
      <c r="A10" s="1" t="s">
        <v>30</v>
      </c>
      <c r="B10" s="1">
        <v>-1.0</v>
      </c>
      <c r="C10" s="1">
        <v>-7.0</v>
      </c>
      <c r="D10" s="1">
        <v>-3.0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31</v>
      </c>
      <c r="B11" s="1">
        <v>4.0</v>
      </c>
      <c r="C11" s="1">
        <v>6.0</v>
      </c>
      <c r="D11" s="1">
        <v>12.0</v>
      </c>
      <c r="E11" s="1">
        <v>10.0</v>
      </c>
      <c r="F11" s="1">
        <v>9.0</v>
      </c>
      <c r="G11" s="1">
        <v>6.0</v>
      </c>
      <c r="H11" s="1">
        <v>6.0</v>
      </c>
      <c r="I11" s="1">
        <v>6.0</v>
      </c>
      <c r="J11" s="1">
        <v>58.0</v>
      </c>
      <c r="K11" s="1">
        <v>23.0</v>
      </c>
      <c r="L11" s="2"/>
      <c r="M11" s="2"/>
      <c r="N11" s="2"/>
      <c r="O11" s="2"/>
      <c r="P11" s="2"/>
      <c r="Q11" s="2"/>
      <c r="R11" s="2"/>
      <c r="S11" s="2"/>
      <c r="T11" s="2"/>
      <c r="U11" s="2"/>
      <c r="V11" s="2"/>
      <c r="W11" s="2"/>
      <c r="X11" s="2"/>
      <c r="Y11" s="2"/>
      <c r="Z11" s="2"/>
    </row>
    <row r="12">
      <c r="A12" s="1" t="s">
        <v>32</v>
      </c>
      <c r="B12" s="1">
        <v>16.0</v>
      </c>
      <c r="C12" s="1">
        <v>14.0</v>
      </c>
      <c r="D12" s="1">
        <v>-7.0</v>
      </c>
      <c r="E12" s="1">
        <v>8.0</v>
      </c>
      <c r="F12" s="1">
        <v>-7.0</v>
      </c>
      <c r="G12" s="1">
        <v>10.0</v>
      </c>
      <c r="H12" s="1">
        <v>-12.0</v>
      </c>
      <c r="I12" s="1">
        <v>-16.0</v>
      </c>
      <c r="J12" s="1">
        <v>-16.0</v>
      </c>
      <c r="K12" s="1">
        <v>-6.0</v>
      </c>
      <c r="L12" s="2"/>
      <c r="M12" s="2"/>
      <c r="N12" s="2"/>
      <c r="O12" s="2"/>
      <c r="P12" s="2"/>
      <c r="Q12" s="2"/>
      <c r="R12" s="2"/>
      <c r="S12" s="2"/>
      <c r="T12" s="2"/>
      <c r="U12" s="2"/>
      <c r="V12" s="2"/>
      <c r="W12" s="2"/>
      <c r="X12" s="2"/>
      <c r="Y12" s="2"/>
      <c r="Z12" s="2"/>
    </row>
    <row r="13">
      <c r="A13" s="1" t="s">
        <v>33</v>
      </c>
      <c r="B13" s="1">
        <v>-52.0</v>
      </c>
      <c r="C13" s="1">
        <v>-98.0</v>
      </c>
      <c r="D13" s="1">
        <v>-57.0</v>
      </c>
      <c r="E13" s="1">
        <v>-10.0</v>
      </c>
      <c r="F13" s="1">
        <v>-10.0</v>
      </c>
      <c r="G13" s="1">
        <v>5.0</v>
      </c>
      <c r="H13" s="1">
        <v>-8.0</v>
      </c>
      <c r="I13" s="1">
        <v>-585.0</v>
      </c>
      <c r="J13" s="1">
        <v>28.0</v>
      </c>
      <c r="K13" s="1">
        <v>221.0</v>
      </c>
      <c r="L13" s="2"/>
      <c r="M13" s="2"/>
      <c r="N13" s="2"/>
      <c r="O13" s="2"/>
      <c r="P13" s="2"/>
      <c r="Q13" s="2"/>
      <c r="R13" s="2"/>
      <c r="S13" s="2"/>
      <c r="T13" s="2"/>
      <c r="U13" s="2"/>
      <c r="V13" s="2"/>
      <c r="W13" s="2"/>
      <c r="X13" s="2"/>
      <c r="Y13" s="2"/>
      <c r="Z13" s="2"/>
    </row>
    <row r="14">
      <c r="A14" s="1" t="s">
        <v>34</v>
      </c>
      <c r="B14" s="1">
        <v>6.0</v>
      </c>
      <c r="C14" s="1">
        <v>29.0</v>
      </c>
      <c r="D14" s="1">
        <v>17.0</v>
      </c>
      <c r="E14" s="1">
        <v>-7.0</v>
      </c>
      <c r="F14" s="1">
        <v>17.0</v>
      </c>
      <c r="G14" s="1">
        <v>1.0</v>
      </c>
      <c r="H14" s="1">
        <v>5.0</v>
      </c>
      <c r="I14" s="1">
        <v>256.0</v>
      </c>
      <c r="J14" s="1">
        <v>48.0</v>
      </c>
      <c r="K14" s="1">
        <v>-184.0</v>
      </c>
      <c r="L14" s="2"/>
      <c r="M14" s="2"/>
      <c r="N14" s="2"/>
      <c r="O14" s="2"/>
      <c r="P14" s="2"/>
      <c r="Q14" s="2"/>
      <c r="R14" s="2"/>
      <c r="S14" s="2"/>
      <c r="T14" s="2"/>
      <c r="U14" s="2"/>
      <c r="V14" s="2"/>
      <c r="W14" s="2"/>
      <c r="X14" s="2"/>
      <c r="Y14" s="2"/>
      <c r="Z14" s="2"/>
    </row>
    <row r="15">
      <c r="A15" s="1" t="s">
        <v>35</v>
      </c>
      <c r="B15" s="1">
        <v>-11.0</v>
      </c>
      <c r="C15" s="1">
        <v>1.0</v>
      </c>
      <c r="D15" s="1">
        <v>73.0</v>
      </c>
      <c r="E15" s="1">
        <v>-54.0</v>
      </c>
      <c r="F15" s="1">
        <v>31.0</v>
      </c>
      <c r="G15" s="1">
        <v>-1.0</v>
      </c>
      <c r="H15" s="1">
        <v>-1.0</v>
      </c>
      <c r="I15" s="1">
        <v>4.0</v>
      </c>
      <c r="J15" s="1">
        <v>-4.0</v>
      </c>
      <c r="K15" s="1">
        <v>-55.0</v>
      </c>
      <c r="L15" s="2"/>
      <c r="M15" s="2"/>
      <c r="N15" s="2"/>
      <c r="O15" s="2"/>
      <c r="P15" s="2"/>
      <c r="Q15" s="2"/>
      <c r="R15" s="2"/>
      <c r="S15" s="2"/>
      <c r="T15" s="2"/>
      <c r="U15" s="2"/>
      <c r="V15" s="2"/>
      <c r="W15" s="2"/>
      <c r="X15" s="2"/>
      <c r="Y15" s="2"/>
      <c r="Z15" s="2"/>
    </row>
    <row r="16">
      <c r="A16" s="1" t="s">
        <v>36</v>
      </c>
      <c r="B16" s="1">
        <v>76.0</v>
      </c>
      <c r="C16" s="1">
        <v>7.0</v>
      </c>
      <c r="D16" s="1">
        <v>6.0</v>
      </c>
      <c r="E16" s="1">
        <v>-15.0</v>
      </c>
      <c r="F16" s="1">
        <v>15.0</v>
      </c>
      <c r="G16" s="1">
        <v>-4.0</v>
      </c>
      <c r="H16" s="1">
        <v>-41.0</v>
      </c>
      <c r="I16" s="1">
        <v>6.0</v>
      </c>
      <c r="J16" s="1">
        <v>-8.0</v>
      </c>
      <c r="K16" s="1">
        <v>3.0</v>
      </c>
      <c r="L16" s="2"/>
      <c r="M16" s="2"/>
      <c r="N16" s="2"/>
      <c r="O16" s="2"/>
      <c r="P16" s="2"/>
      <c r="Q16" s="2"/>
      <c r="R16" s="2"/>
      <c r="S16" s="2"/>
      <c r="T16" s="2"/>
      <c r="U16" s="2"/>
      <c r="V16" s="2"/>
      <c r="W16" s="2"/>
      <c r="X16" s="2"/>
      <c r="Y16" s="2"/>
      <c r="Z16" s="2"/>
    </row>
    <row r="17">
      <c r="A17" s="1" t="s">
        <v>37</v>
      </c>
      <c r="B17" s="1">
        <v>-2.0</v>
      </c>
      <c r="C17" s="1">
        <v>-11.0</v>
      </c>
      <c r="D17" s="1">
        <v>15.0</v>
      </c>
      <c r="E17" s="1">
        <v>-43.0</v>
      </c>
      <c r="F17" s="1">
        <v>9.0</v>
      </c>
      <c r="G17" s="1">
        <v>17.0</v>
      </c>
      <c r="H17" s="1">
        <v>71.0</v>
      </c>
      <c r="I17" s="1">
        <v>175.0</v>
      </c>
      <c r="J17" s="1">
        <v>-65.0</v>
      </c>
      <c r="K17" s="1">
        <v>-90.0</v>
      </c>
      <c r="L17" s="2"/>
      <c r="M17" s="2"/>
      <c r="N17" s="2"/>
      <c r="O17" s="2"/>
      <c r="P17" s="2"/>
      <c r="Q17" s="2"/>
      <c r="R17" s="2"/>
      <c r="S17" s="2"/>
      <c r="T17" s="2"/>
      <c r="U17" s="2"/>
      <c r="V17" s="2"/>
      <c r="W17" s="2"/>
      <c r="X17" s="2"/>
      <c r="Y17" s="2"/>
      <c r="Z17" s="2"/>
    </row>
    <row r="18">
      <c r="A18" s="1" t="s">
        <v>38</v>
      </c>
      <c r="B18" s="1">
        <v>27.0</v>
      </c>
      <c r="C18" s="1">
        <v>56.0</v>
      </c>
      <c r="D18" s="1">
        <v>132.0</v>
      </c>
      <c r="E18" s="1">
        <v>115.0</v>
      </c>
      <c r="F18" s="1">
        <v>227.0</v>
      </c>
      <c r="G18" s="1">
        <v>225.0</v>
      </c>
      <c r="H18" s="1">
        <v>257.0</v>
      </c>
      <c r="I18" s="1">
        <v>305.0</v>
      </c>
      <c r="J18" s="1">
        <v>654.0</v>
      </c>
      <c r="K18" s="1">
        <v>372.0</v>
      </c>
      <c r="L18" s="2"/>
      <c r="M18" s="2"/>
      <c r="N18" s="2"/>
      <c r="O18" s="2"/>
      <c r="P18" s="2"/>
      <c r="Q18" s="2"/>
      <c r="R18" s="2"/>
      <c r="S18" s="2"/>
      <c r="T18" s="2"/>
      <c r="U18" s="2"/>
      <c r="V18" s="2"/>
      <c r="W18" s="2"/>
      <c r="X18" s="2"/>
      <c r="Y18" s="2"/>
      <c r="Z18" s="2"/>
    </row>
    <row r="19">
      <c r="A19" s="1" t="s">
        <v>39</v>
      </c>
      <c r="B19" s="1">
        <v>-19.0</v>
      </c>
      <c r="C19" s="1">
        <v>-27.0</v>
      </c>
      <c r="D19" s="1">
        <v>-21.0</v>
      </c>
      <c r="E19" s="1">
        <v>-26.0</v>
      </c>
      <c r="F19" s="1">
        <v>-35.0</v>
      </c>
      <c r="G19" s="1">
        <v>-35.0</v>
      </c>
      <c r="H19" s="1">
        <v>-37.0</v>
      </c>
      <c r="I19" s="1">
        <v>-53.0</v>
      </c>
      <c r="J19" s="1">
        <v>-75.0</v>
      </c>
      <c r="K19" s="1">
        <v>-104.0</v>
      </c>
      <c r="L19" s="2"/>
      <c r="M19" s="2"/>
      <c r="N19" s="2"/>
      <c r="O19" s="2"/>
      <c r="P19" s="2"/>
      <c r="Q19" s="2"/>
      <c r="R19" s="2"/>
      <c r="S19" s="2"/>
      <c r="T19" s="2"/>
      <c r="U19" s="2"/>
      <c r="V19" s="2"/>
      <c r="W19" s="2"/>
      <c r="X19" s="2"/>
      <c r="Y19" s="2"/>
      <c r="Z19" s="2"/>
    </row>
    <row r="20">
      <c r="A20" s="1" t="s">
        <v>40</v>
      </c>
      <c r="B20" s="1">
        <v>-14.0</v>
      </c>
      <c r="C20" s="1">
        <v>-85.0</v>
      </c>
      <c r="D20" s="1">
        <v>-218.0</v>
      </c>
      <c r="E20" s="1">
        <v>-1.0</v>
      </c>
      <c r="F20" s="1">
        <v>-217.0</v>
      </c>
      <c r="G20" s="1">
        <v>-248.0</v>
      </c>
      <c r="H20" s="1">
        <v>-476.0</v>
      </c>
      <c r="I20" s="1">
        <v>-41.0</v>
      </c>
      <c r="J20" s="1">
        <v>-69.0</v>
      </c>
      <c r="K20" s="1">
        <v>-292.0</v>
      </c>
      <c r="L20" s="2"/>
      <c r="M20" s="2"/>
      <c r="N20" s="2"/>
      <c r="O20" s="2"/>
      <c r="P20" s="2"/>
      <c r="Q20" s="2"/>
      <c r="R20" s="2"/>
      <c r="S20" s="2"/>
      <c r="T20" s="2"/>
      <c r="U20" s="2"/>
      <c r="V20" s="2"/>
      <c r="W20" s="2"/>
      <c r="X20" s="2"/>
      <c r="Y20" s="2"/>
      <c r="Z20" s="2"/>
    </row>
    <row r="21" ht="15.75" customHeight="1">
      <c r="A21" s="1" t="s">
        <v>41</v>
      </c>
      <c r="B21" s="1">
        <v>0.0</v>
      </c>
      <c r="C21" s="1">
        <v>0.0</v>
      </c>
      <c r="D21" s="1">
        <v>0.0</v>
      </c>
      <c r="E21" s="1">
        <v>0.0</v>
      </c>
      <c r="F21" s="1">
        <v>-1.0</v>
      </c>
      <c r="G21" s="1">
        <v>-1.0</v>
      </c>
      <c r="H21" s="1">
        <v>-1.0</v>
      </c>
      <c r="I21" s="1">
        <v>-9.0</v>
      </c>
      <c r="J21" s="1">
        <v>-5.0</v>
      </c>
      <c r="K21" s="1">
        <v>-1.0</v>
      </c>
      <c r="L21" s="2"/>
      <c r="M21" s="2"/>
      <c r="N21" s="2"/>
      <c r="O21" s="2"/>
      <c r="P21" s="2"/>
      <c r="Q21" s="2"/>
      <c r="R21" s="2"/>
      <c r="S21" s="2"/>
      <c r="T21" s="2"/>
      <c r="U21" s="2"/>
      <c r="V21" s="2"/>
      <c r="W21" s="2"/>
      <c r="X21" s="2"/>
      <c r="Y21" s="2"/>
      <c r="Z21" s="2"/>
    </row>
    <row r="22" ht="15.75" customHeight="1">
      <c r="A22" s="1" t="s">
        <v>42</v>
      </c>
      <c r="B22" s="1">
        <v>-5.0</v>
      </c>
      <c r="C22" s="1">
        <v>-1.0</v>
      </c>
      <c r="D22" s="1">
        <v>0.0</v>
      </c>
      <c r="E22" s="1">
        <v>-2.0</v>
      </c>
      <c r="F22" s="1">
        <v>-6.0</v>
      </c>
      <c r="G22" s="1">
        <v>0.0</v>
      </c>
      <c r="H22" s="1">
        <v>52.0</v>
      </c>
      <c r="I22" s="1">
        <v>-42.0</v>
      </c>
      <c r="J22" s="1">
        <v>1.0</v>
      </c>
      <c r="K22" s="1">
        <v>9.0</v>
      </c>
      <c r="L22" s="2"/>
      <c r="M22" s="2"/>
      <c r="N22" s="2"/>
      <c r="O22" s="2"/>
      <c r="P22" s="2"/>
      <c r="Q22" s="2"/>
      <c r="R22" s="2"/>
      <c r="S22" s="2"/>
      <c r="T22" s="2"/>
      <c r="U22" s="2"/>
      <c r="V22" s="2"/>
      <c r="W22" s="2"/>
      <c r="X22" s="2"/>
      <c r="Y22" s="2"/>
      <c r="Z22" s="2"/>
    </row>
    <row r="23" ht="15.75" customHeight="1">
      <c r="A23" s="1" t="s">
        <v>43</v>
      </c>
      <c r="B23" s="1">
        <v>10.0</v>
      </c>
      <c r="C23" s="1">
        <v>-3.0</v>
      </c>
      <c r="D23" s="1">
        <v>-17.0</v>
      </c>
      <c r="E23" s="1">
        <v>-3.0</v>
      </c>
      <c r="F23" s="1">
        <v>-19.0</v>
      </c>
      <c r="G23" s="1">
        <v>-7.0</v>
      </c>
      <c r="H23" s="1">
        <v>-23.0</v>
      </c>
      <c r="I23" s="1">
        <v>-12.0</v>
      </c>
      <c r="J23" s="1">
        <v>-21.0</v>
      </c>
      <c r="K23" s="1">
        <v>-24.0</v>
      </c>
      <c r="L23" s="2"/>
      <c r="M23" s="2"/>
      <c r="N23" s="2"/>
      <c r="O23" s="2"/>
      <c r="P23" s="2"/>
      <c r="Q23" s="2"/>
      <c r="R23" s="2"/>
      <c r="S23" s="2"/>
      <c r="T23" s="2"/>
      <c r="U23" s="2"/>
      <c r="V23" s="2"/>
      <c r="W23" s="2"/>
      <c r="X23" s="2"/>
      <c r="Y23" s="2"/>
      <c r="Z23" s="2"/>
    </row>
    <row r="24" ht="15.75" customHeight="1">
      <c r="A24" s="1" t="s">
        <v>44</v>
      </c>
      <c r="B24" s="1">
        <v>-28.0</v>
      </c>
      <c r="C24" s="1">
        <v>-116.0</v>
      </c>
      <c r="D24" s="1">
        <v>-257.0</v>
      </c>
      <c r="E24" s="1">
        <v>-33.0</v>
      </c>
      <c r="F24" s="1">
        <v>-279.0</v>
      </c>
      <c r="G24" s="1">
        <v>-292.0</v>
      </c>
      <c r="H24" s="1">
        <v>-538.0</v>
      </c>
      <c r="I24" s="1">
        <v>-107.0</v>
      </c>
      <c r="J24" s="1">
        <v>-171.0</v>
      </c>
      <c r="K24" s="1">
        <v>-412.0</v>
      </c>
      <c r="L24" s="2"/>
      <c r="M24" s="2"/>
      <c r="N24" s="2"/>
      <c r="O24" s="2"/>
      <c r="P24" s="2"/>
      <c r="Q24" s="2"/>
      <c r="R24" s="2"/>
      <c r="S24" s="2"/>
      <c r="T24" s="2"/>
      <c r="U24" s="2"/>
      <c r="V24" s="2"/>
      <c r="W24" s="2"/>
      <c r="X24" s="2"/>
      <c r="Y24" s="2"/>
      <c r="Z24" s="2"/>
    </row>
    <row r="25" ht="15.75" customHeight="1">
      <c r="A25" s="1" t="s">
        <v>45</v>
      </c>
      <c r="B25" s="1">
        <v>47.0</v>
      </c>
      <c r="C25" s="1">
        <v>0.0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46</v>
      </c>
      <c r="B26" s="1">
        <v>150.0</v>
      </c>
      <c r="C26" s="1">
        <v>89.0</v>
      </c>
      <c r="D26" s="1">
        <v>524.0</v>
      </c>
      <c r="E26" s="1">
        <v>0.0</v>
      </c>
      <c r="F26" s="1">
        <v>195.0</v>
      </c>
      <c r="G26" s="1">
        <v>551.0</v>
      </c>
      <c r="H26" s="1">
        <v>1050.0</v>
      </c>
      <c r="I26" s="1">
        <v>70.0</v>
      </c>
      <c r="J26" s="1">
        <v>0.0</v>
      </c>
      <c r="K26" s="1">
        <v>815.0</v>
      </c>
      <c r="L26" s="2"/>
      <c r="M26" s="2"/>
      <c r="N26" s="2"/>
      <c r="O26" s="2"/>
      <c r="P26" s="2"/>
      <c r="Q26" s="2"/>
      <c r="R26" s="2"/>
      <c r="S26" s="2"/>
      <c r="T26" s="2"/>
      <c r="U26" s="2"/>
      <c r="V26" s="2"/>
      <c r="W26" s="2"/>
      <c r="X26" s="2"/>
      <c r="Y26" s="2"/>
      <c r="Z26" s="2"/>
    </row>
    <row r="27" ht="15.75" customHeight="1">
      <c r="A27" s="1" t="s">
        <v>47</v>
      </c>
      <c r="B27" s="1">
        <v>198.0</v>
      </c>
      <c r="C27" s="1">
        <v>89.0</v>
      </c>
      <c r="D27" s="1">
        <v>524.0</v>
      </c>
      <c r="E27" s="1">
        <v>0.0</v>
      </c>
      <c r="F27" s="1">
        <v>195.0</v>
      </c>
      <c r="G27" s="1">
        <v>551.0</v>
      </c>
      <c r="H27" s="1">
        <v>1050.0</v>
      </c>
      <c r="I27" s="1">
        <v>70.0</v>
      </c>
      <c r="J27" s="1">
        <v>0.0</v>
      </c>
      <c r="K27" s="1">
        <v>815.0</v>
      </c>
      <c r="L27" s="2"/>
      <c r="M27" s="2"/>
      <c r="N27" s="2"/>
      <c r="O27" s="2"/>
      <c r="P27" s="2"/>
      <c r="Q27" s="2"/>
      <c r="R27" s="2"/>
      <c r="S27" s="2"/>
      <c r="T27" s="2"/>
      <c r="U27" s="2"/>
      <c r="V27" s="2"/>
      <c r="W27" s="2"/>
      <c r="X27" s="2"/>
      <c r="Y27" s="2"/>
      <c r="Z27" s="2"/>
    </row>
    <row r="28" ht="15.75" customHeight="1">
      <c r="A28" s="1" t="s">
        <v>48</v>
      </c>
      <c r="B28" s="1">
        <v>-39.0</v>
      </c>
      <c r="C28" s="1">
        <v>0.0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49</v>
      </c>
      <c r="B29" s="1">
        <v>-156.0</v>
      </c>
      <c r="C29" s="1">
        <v>-32.0</v>
      </c>
      <c r="D29" s="1">
        <v>-374.0</v>
      </c>
      <c r="E29" s="1">
        <v>-44.0</v>
      </c>
      <c r="F29" s="1">
        <v>-75.0</v>
      </c>
      <c r="G29" s="1">
        <v>-371.0</v>
      </c>
      <c r="H29" s="1">
        <v>-806.0</v>
      </c>
      <c r="I29" s="1">
        <v>-91.0</v>
      </c>
      <c r="J29" s="1">
        <v>0.0</v>
      </c>
      <c r="K29" s="1">
        <v>-355.0</v>
      </c>
      <c r="L29" s="2"/>
      <c r="M29" s="2"/>
      <c r="N29" s="2"/>
      <c r="O29" s="2"/>
      <c r="P29" s="2"/>
      <c r="Q29" s="2"/>
      <c r="R29" s="2"/>
      <c r="S29" s="2"/>
      <c r="T29" s="2"/>
      <c r="U29" s="2"/>
      <c r="V29" s="2"/>
      <c r="W29" s="2"/>
      <c r="X29" s="2"/>
      <c r="Y29" s="2"/>
      <c r="Z29" s="2"/>
    </row>
    <row r="30" ht="15.75" customHeight="1">
      <c r="A30" s="1" t="s">
        <v>50</v>
      </c>
      <c r="B30" s="1">
        <v>-195.0</v>
      </c>
      <c r="C30" s="1">
        <v>-32.0</v>
      </c>
      <c r="D30" s="1">
        <v>-374.0</v>
      </c>
      <c r="E30" s="1">
        <v>-44.0</v>
      </c>
      <c r="F30" s="1">
        <v>-75.0</v>
      </c>
      <c r="G30" s="1">
        <v>-371.0</v>
      </c>
      <c r="H30" s="1">
        <v>-806.0</v>
      </c>
      <c r="I30" s="1">
        <v>-91.0</v>
      </c>
      <c r="J30" s="1">
        <v>0.0</v>
      </c>
      <c r="K30" s="1">
        <v>-355.0</v>
      </c>
      <c r="L30" s="2"/>
      <c r="M30" s="2"/>
      <c r="N30" s="2"/>
      <c r="O30" s="2"/>
      <c r="P30" s="2"/>
      <c r="Q30" s="2"/>
      <c r="R30" s="2"/>
      <c r="S30" s="2"/>
      <c r="T30" s="2"/>
      <c r="U30" s="2"/>
      <c r="V30" s="2"/>
      <c r="W30" s="2"/>
      <c r="X30" s="2"/>
      <c r="Y30" s="2"/>
      <c r="Z30" s="2"/>
    </row>
    <row r="31" ht="15.75" customHeight="1">
      <c r="A31" s="1" t="s">
        <v>51</v>
      </c>
      <c r="B31" s="1">
        <v>1.0</v>
      </c>
      <c r="C31" s="1">
        <v>3.0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52</v>
      </c>
      <c r="B32" s="1">
        <v>-4.0</v>
      </c>
      <c r="C32" s="1">
        <v>-11.0</v>
      </c>
      <c r="D32" s="1">
        <v>-19.0</v>
      </c>
      <c r="E32" s="1">
        <v>-29.0</v>
      </c>
      <c r="F32" s="1">
        <v>-78.0</v>
      </c>
      <c r="G32" s="1">
        <v>-32.0</v>
      </c>
      <c r="H32" s="1">
        <v>-6.0</v>
      </c>
      <c r="I32" s="1">
        <v>-9.0</v>
      </c>
      <c r="J32" s="1">
        <v>-592.0</v>
      </c>
      <c r="K32" s="1">
        <v>-438.0</v>
      </c>
      <c r="L32" s="2"/>
      <c r="M32" s="2"/>
      <c r="N32" s="2"/>
      <c r="O32" s="2"/>
      <c r="P32" s="2"/>
      <c r="Q32" s="2"/>
      <c r="R32" s="2"/>
      <c r="S32" s="2"/>
      <c r="T32" s="2"/>
      <c r="U32" s="2"/>
      <c r="V32" s="2"/>
      <c r="W32" s="2"/>
      <c r="X32" s="2"/>
      <c r="Y32" s="2"/>
      <c r="Z32" s="2"/>
    </row>
    <row r="33" ht="15.75" customHeight="1">
      <c r="A33" s="1" t="s">
        <v>53</v>
      </c>
      <c r="B33" s="1">
        <v>-1.0</v>
      </c>
      <c r="C33" s="1">
        <v>7.0</v>
      </c>
      <c r="D33" s="1">
        <v>-4.0</v>
      </c>
      <c r="E33" s="1">
        <v>-3.0</v>
      </c>
      <c r="F33" s="1">
        <v>-4.0</v>
      </c>
      <c r="G33" s="1">
        <v>-10.0</v>
      </c>
      <c r="H33" s="1">
        <v>-22.0</v>
      </c>
      <c r="I33" s="1">
        <v>-3.0</v>
      </c>
      <c r="J33" s="1">
        <v>0.0</v>
      </c>
      <c r="K33" s="1">
        <v>-11.0</v>
      </c>
      <c r="L33" s="2"/>
      <c r="M33" s="2"/>
      <c r="N33" s="2"/>
      <c r="O33" s="2"/>
      <c r="P33" s="2"/>
      <c r="Q33" s="2"/>
      <c r="R33" s="2"/>
      <c r="S33" s="2"/>
      <c r="T33" s="2"/>
      <c r="U33" s="2"/>
      <c r="V33" s="2"/>
      <c r="W33" s="2"/>
      <c r="X33" s="2"/>
      <c r="Y33" s="2"/>
      <c r="Z33" s="2"/>
    </row>
    <row r="34" ht="15.75" customHeight="1">
      <c r="A34" s="1" t="s">
        <v>54</v>
      </c>
      <c r="B34" s="1">
        <v>-2.0</v>
      </c>
      <c r="C34" s="1">
        <v>56.0</v>
      </c>
      <c r="D34" s="1">
        <v>126.0</v>
      </c>
      <c r="E34" s="1">
        <v>-77.0</v>
      </c>
      <c r="F34" s="1">
        <v>37.0</v>
      </c>
      <c r="G34" s="1">
        <v>137.0</v>
      </c>
      <c r="H34" s="1">
        <v>211.0</v>
      </c>
      <c r="I34" s="1">
        <v>-34.0</v>
      </c>
      <c r="J34" s="1">
        <v>-592.0</v>
      </c>
      <c r="K34" s="1">
        <v>10.0</v>
      </c>
      <c r="L34" s="2"/>
      <c r="M34" s="2"/>
      <c r="N34" s="2"/>
      <c r="O34" s="2"/>
      <c r="P34" s="2"/>
      <c r="Q34" s="2"/>
      <c r="R34" s="2"/>
      <c r="S34" s="2"/>
      <c r="T34" s="2"/>
      <c r="U34" s="2"/>
      <c r="V34" s="2"/>
      <c r="W34" s="2"/>
      <c r="X34" s="2"/>
      <c r="Y34" s="2"/>
      <c r="Z34" s="2"/>
    </row>
    <row r="35" ht="15.75" customHeight="1">
      <c r="A35" s="1" t="s">
        <v>55</v>
      </c>
      <c r="B35" s="1">
        <v>14.0</v>
      </c>
      <c r="C35" s="1">
        <v>7.0</v>
      </c>
      <c r="D35" s="1">
        <v>26.0</v>
      </c>
      <c r="E35" s="1">
        <v>-9.0</v>
      </c>
      <c r="F35" s="1">
        <v>26.0</v>
      </c>
      <c r="G35" s="1">
        <v>0.0</v>
      </c>
      <c r="H35" s="1">
        <v>-11.0</v>
      </c>
      <c r="I35" s="1">
        <v>-33.0</v>
      </c>
      <c r="J35" s="1">
        <v>0.0</v>
      </c>
      <c r="K35" s="1">
        <v>0.0</v>
      </c>
      <c r="L35" s="2"/>
      <c r="M35" s="2"/>
      <c r="N35" s="2"/>
      <c r="O35" s="2"/>
      <c r="P35" s="2"/>
      <c r="Q35" s="2"/>
      <c r="R35" s="2"/>
      <c r="S35" s="2"/>
      <c r="T35" s="2"/>
      <c r="U35" s="2"/>
      <c r="V35" s="2"/>
      <c r="W35" s="2"/>
      <c r="X35" s="2"/>
      <c r="Y35" s="2"/>
      <c r="Z35" s="2"/>
    </row>
    <row r="36" ht="15.75" customHeight="1">
      <c r="A36" s="1" t="s">
        <v>56</v>
      </c>
      <c r="B36" s="1">
        <v>-2.0</v>
      </c>
      <c r="C36" s="1">
        <v>-3.0</v>
      </c>
      <c r="D36" s="1">
        <v>1.0</v>
      </c>
      <c r="E36" s="1">
        <v>4.0</v>
      </c>
      <c r="F36" s="1">
        <v>-14.0</v>
      </c>
      <c r="G36" s="1">
        <v>69.0</v>
      </c>
      <c r="H36" s="1">
        <v>-69.0</v>
      </c>
      <c r="I36" s="1">
        <v>163.0</v>
      </c>
      <c r="J36" s="1">
        <v>-109.0</v>
      </c>
      <c r="K36" s="1">
        <v>-29.0</v>
      </c>
      <c r="L36" s="2"/>
      <c r="M36" s="2"/>
      <c r="N36" s="2"/>
      <c r="O36" s="2"/>
      <c r="P36" s="2"/>
      <c r="Q36" s="2"/>
      <c r="R36" s="2"/>
      <c r="S36" s="2"/>
      <c r="T36" s="2"/>
      <c r="U36" s="2"/>
      <c r="V36" s="2"/>
      <c r="W36" s="2"/>
      <c r="X36" s="2"/>
      <c r="Y36" s="2"/>
      <c r="Z36" s="2"/>
    </row>
    <row r="37" ht="15.75" customHeight="1">
      <c r="A37" s="1" t="s">
        <v>57</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58</v>
      </c>
      <c r="B38" s="1">
        <v>4.0</v>
      </c>
      <c r="C38" s="1">
        <v>5.0</v>
      </c>
      <c r="D38" s="1">
        <v>8.0</v>
      </c>
      <c r="E38" s="1">
        <v>17.0</v>
      </c>
      <c r="F38" s="1">
        <v>21.0</v>
      </c>
      <c r="G38" s="1">
        <v>23.0</v>
      </c>
      <c r="H38" s="1">
        <v>22.0</v>
      </c>
      <c r="I38" s="1">
        <v>38.0</v>
      </c>
      <c r="J38" s="1">
        <v>37.0</v>
      </c>
      <c r="K38" s="1">
        <v>48.0</v>
      </c>
      <c r="L38" s="2"/>
      <c r="M38" s="2"/>
      <c r="N38" s="2"/>
      <c r="O38" s="2"/>
      <c r="P38" s="2"/>
      <c r="Q38" s="2"/>
      <c r="R38" s="2"/>
      <c r="S38" s="2"/>
      <c r="T38" s="2"/>
      <c r="U38" s="2"/>
      <c r="V38" s="2"/>
      <c r="W38" s="2"/>
      <c r="X38" s="2"/>
      <c r="Y38" s="2"/>
      <c r="Z38" s="2"/>
    </row>
    <row r="39" ht="15.75" customHeight="1">
      <c r="A39" s="1" t="s">
        <v>59</v>
      </c>
      <c r="B39" s="1">
        <v>17.0</v>
      </c>
      <c r="C39" s="1">
        <v>33.0</v>
      </c>
      <c r="D39" s="1">
        <v>73.0</v>
      </c>
      <c r="E39" s="1">
        <v>73.0</v>
      </c>
      <c r="F39" s="1">
        <v>30.0</v>
      </c>
      <c r="G39" s="1">
        <v>37.0</v>
      </c>
      <c r="H39" s="1">
        <v>46.0</v>
      </c>
      <c r="I39" s="1">
        <v>106.0</v>
      </c>
      <c r="J39" s="1">
        <v>214.0</v>
      </c>
      <c r="K39" s="1">
        <v>78.0</v>
      </c>
      <c r="L39" s="2"/>
      <c r="M39" s="2"/>
      <c r="N39" s="2"/>
      <c r="O39" s="2"/>
      <c r="P39" s="2"/>
      <c r="Q39" s="2"/>
      <c r="R39" s="2"/>
      <c r="S39" s="2"/>
      <c r="T39" s="2"/>
      <c r="U39" s="2"/>
      <c r="V39" s="2"/>
      <c r="W39" s="2"/>
      <c r="X39" s="2"/>
      <c r="Y39" s="2"/>
      <c r="Z39" s="2"/>
    </row>
    <row r="40" ht="15.75" customHeight="1">
      <c r="A40" s="1" t="s">
        <v>60</v>
      </c>
      <c r="B40" s="1">
        <v>3.0</v>
      </c>
      <c r="C40" s="1">
        <v>54.0</v>
      </c>
      <c r="D40" s="1">
        <v>113.0</v>
      </c>
      <c r="E40" s="1">
        <v>112.0</v>
      </c>
      <c r="F40" s="1">
        <v>167.0</v>
      </c>
      <c r="G40" s="1">
        <v>184.0</v>
      </c>
      <c r="H40" s="1">
        <v>165.0</v>
      </c>
      <c r="I40" s="1">
        <v>240.0</v>
      </c>
      <c r="J40" s="1">
        <v>520.0</v>
      </c>
      <c r="K40" s="1">
        <v>271.0</v>
      </c>
      <c r="L40" s="2"/>
      <c r="M40" s="2"/>
      <c r="N40" s="2"/>
      <c r="O40" s="2"/>
      <c r="P40" s="2"/>
      <c r="Q40" s="2"/>
      <c r="R40" s="2"/>
      <c r="S40" s="2"/>
      <c r="T40" s="2"/>
      <c r="U40" s="2"/>
      <c r="V40" s="2"/>
      <c r="W40" s="2"/>
      <c r="X40" s="2"/>
      <c r="Y40" s="2"/>
      <c r="Z40" s="2"/>
    </row>
    <row r="41" ht="15.75" customHeight="1">
      <c r="A41" s="1" t="s">
        <v>61</v>
      </c>
      <c r="B41" s="1">
        <v>7.0</v>
      </c>
      <c r="C41" s="1">
        <v>58.0</v>
      </c>
      <c r="D41" s="1">
        <v>122.0</v>
      </c>
      <c r="E41" s="1">
        <v>124.0</v>
      </c>
      <c r="F41" s="1">
        <v>181.0</v>
      </c>
      <c r="G41" s="1">
        <v>201.0</v>
      </c>
      <c r="H41" s="1">
        <v>191.0</v>
      </c>
      <c r="I41" s="1">
        <v>265.0</v>
      </c>
      <c r="J41" s="1">
        <v>520.0</v>
      </c>
      <c r="K41" s="1">
        <v>305.0</v>
      </c>
      <c r="L41" s="2"/>
      <c r="M41" s="2"/>
      <c r="N41" s="2"/>
      <c r="O41" s="2"/>
      <c r="P41" s="2"/>
      <c r="Q41" s="2"/>
      <c r="R41" s="2"/>
      <c r="S41" s="2"/>
      <c r="T41" s="2"/>
      <c r="U41" s="2"/>
      <c r="V41" s="2"/>
      <c r="W41" s="2"/>
      <c r="X41" s="2"/>
      <c r="Y41" s="2"/>
      <c r="Z41" s="2"/>
    </row>
    <row r="42" ht="15.75" customHeight="1">
      <c r="A42" s="1" t="s">
        <v>62</v>
      </c>
      <c r="B42" s="1">
        <v>38.0</v>
      </c>
      <c r="C42" s="1">
        <v>29.0</v>
      </c>
      <c r="D42" s="1">
        <v>16.0</v>
      </c>
      <c r="E42" s="1">
        <v>24.0</v>
      </c>
      <c r="F42" s="1">
        <v>-32.0</v>
      </c>
      <c r="G42" s="1">
        <v>-47.0</v>
      </c>
      <c r="H42" s="1">
        <v>-12.0</v>
      </c>
      <c r="I42" s="1">
        <v>109.0</v>
      </c>
      <c r="J42" s="1">
        <v>-30.0</v>
      </c>
      <c r="K42" s="1">
        <v>-18.0</v>
      </c>
      <c r="L42" s="2"/>
      <c r="M42" s="2"/>
      <c r="N42" s="2"/>
      <c r="O42" s="2"/>
      <c r="P42" s="2"/>
      <c r="Q42" s="2"/>
      <c r="R42" s="2"/>
      <c r="S42" s="2"/>
      <c r="T42" s="2"/>
      <c r="U42" s="2"/>
      <c r="V42" s="2"/>
      <c r="W42" s="2"/>
      <c r="X42" s="2"/>
      <c r="Y42" s="2"/>
      <c r="Z42" s="2"/>
    </row>
    <row r="43" ht="15.75" customHeight="1">
      <c r="A43" s="1" t="s">
        <v>63</v>
      </c>
      <c r="B43" s="1">
        <v>2.0</v>
      </c>
      <c r="C43" s="1">
        <v>57.0</v>
      </c>
      <c r="D43" s="1">
        <v>150.0</v>
      </c>
      <c r="E43" s="1">
        <v>-44.0</v>
      </c>
      <c r="F43" s="1">
        <v>120.0</v>
      </c>
      <c r="G43" s="1">
        <v>180.0</v>
      </c>
      <c r="H43" s="1">
        <v>241.0</v>
      </c>
      <c r="I43" s="1">
        <v>-21.0</v>
      </c>
      <c r="J43" s="1">
        <v>0.0</v>
      </c>
      <c r="K43" s="1">
        <v>460.0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21</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13.0</v>
      </c>
      <c r="C3" s="1">
        <v>9.0</v>
      </c>
      <c r="D3" s="1">
        <v>10.0</v>
      </c>
      <c r="E3" s="1">
        <v>15.0</v>
      </c>
      <c r="F3" s="1">
        <v>13.0</v>
      </c>
      <c r="G3" s="1">
        <v>82.0</v>
      </c>
      <c r="H3" s="1">
        <v>29.0</v>
      </c>
      <c r="I3" s="1">
        <v>181.0</v>
      </c>
      <c r="J3" s="1">
        <v>64.0</v>
      </c>
      <c r="K3" s="1">
        <v>32.0</v>
      </c>
      <c r="L3" s="2"/>
      <c r="M3" s="2"/>
      <c r="N3" s="2"/>
      <c r="O3" s="2"/>
      <c r="P3" s="2"/>
      <c r="Q3" s="2"/>
      <c r="R3" s="2"/>
      <c r="S3" s="2"/>
      <c r="T3" s="2"/>
      <c r="U3" s="2"/>
      <c r="V3" s="2"/>
      <c r="W3" s="2"/>
      <c r="X3" s="2"/>
      <c r="Y3" s="2"/>
      <c r="Z3" s="2"/>
    </row>
    <row r="4">
      <c r="A4" s="1" t="s">
        <v>66</v>
      </c>
      <c r="B4" s="1">
        <v>13.0</v>
      </c>
      <c r="C4" s="1">
        <v>9.0</v>
      </c>
      <c r="D4" s="1">
        <v>10.0</v>
      </c>
      <c r="E4" s="1">
        <v>15.0</v>
      </c>
      <c r="F4" s="1">
        <v>13.0</v>
      </c>
      <c r="G4" s="1">
        <v>82.0</v>
      </c>
      <c r="H4" s="1">
        <v>29.0</v>
      </c>
      <c r="I4" s="1">
        <v>181.0</v>
      </c>
      <c r="J4" s="1">
        <v>64.0</v>
      </c>
      <c r="K4" s="1">
        <v>32.0</v>
      </c>
      <c r="L4" s="2"/>
      <c r="M4" s="2"/>
      <c r="N4" s="2"/>
      <c r="O4" s="2"/>
      <c r="P4" s="2"/>
      <c r="Q4" s="2"/>
      <c r="R4" s="2"/>
      <c r="S4" s="2"/>
      <c r="T4" s="2"/>
      <c r="U4" s="2"/>
      <c r="V4" s="2"/>
      <c r="W4" s="2"/>
      <c r="X4" s="2"/>
      <c r="Y4" s="2"/>
      <c r="Z4" s="2"/>
    </row>
    <row r="5">
      <c r="A5" s="1" t="s">
        <v>67</v>
      </c>
      <c r="B5" s="1">
        <v>215.0</v>
      </c>
      <c r="C5" s="1">
        <v>329.0</v>
      </c>
      <c r="D5" s="1">
        <v>391.0</v>
      </c>
      <c r="E5" s="1">
        <v>392.0</v>
      </c>
      <c r="F5" s="1">
        <v>416.0</v>
      </c>
      <c r="G5" s="1">
        <v>425.0</v>
      </c>
      <c r="H5" s="1">
        <v>450.0</v>
      </c>
      <c r="I5" s="1">
        <v>1030.0</v>
      </c>
      <c r="J5" s="1">
        <v>944.0</v>
      </c>
      <c r="K5" s="1">
        <v>741.0</v>
      </c>
      <c r="L5" s="2"/>
      <c r="M5" s="2"/>
      <c r="N5" s="2"/>
      <c r="O5" s="2"/>
      <c r="P5" s="2"/>
      <c r="Q5" s="2"/>
      <c r="R5" s="2"/>
      <c r="S5" s="2"/>
      <c r="T5" s="2"/>
      <c r="U5" s="2"/>
      <c r="V5" s="2"/>
      <c r="W5" s="2"/>
      <c r="X5" s="2"/>
      <c r="Y5" s="2"/>
      <c r="Z5" s="2"/>
    </row>
    <row r="6">
      <c r="A6" s="1" t="s">
        <v>68</v>
      </c>
      <c r="B6" s="1">
        <v>3.0</v>
      </c>
      <c r="C6" s="1">
        <v>3.0</v>
      </c>
      <c r="D6" s="1">
        <v>36.0</v>
      </c>
      <c r="E6" s="1">
        <v>15.0</v>
      </c>
      <c r="F6" s="1">
        <v>79.0</v>
      </c>
      <c r="G6" s="1">
        <v>5.0</v>
      </c>
      <c r="H6" s="1">
        <v>6.0</v>
      </c>
      <c r="I6" s="1">
        <v>0.0</v>
      </c>
      <c r="J6" s="1">
        <v>8.0</v>
      </c>
      <c r="K6" s="1">
        <v>5.0</v>
      </c>
      <c r="L6" s="2"/>
      <c r="M6" s="2"/>
      <c r="N6" s="2"/>
      <c r="O6" s="2"/>
      <c r="P6" s="2"/>
      <c r="Q6" s="2"/>
      <c r="R6" s="2"/>
      <c r="S6" s="2"/>
      <c r="T6" s="2"/>
      <c r="U6" s="2"/>
      <c r="V6" s="2"/>
      <c r="W6" s="2"/>
      <c r="X6" s="2"/>
      <c r="Y6" s="2"/>
      <c r="Z6" s="2"/>
    </row>
    <row r="7">
      <c r="A7" s="1" t="s">
        <v>69</v>
      </c>
      <c r="B7" s="1">
        <v>218.0</v>
      </c>
      <c r="C7" s="1">
        <v>332.0</v>
      </c>
      <c r="D7" s="1">
        <v>392.0</v>
      </c>
      <c r="E7" s="1">
        <v>407.0</v>
      </c>
      <c r="F7" s="1">
        <v>417.0</v>
      </c>
      <c r="G7" s="1">
        <v>431.0</v>
      </c>
      <c r="H7" s="1">
        <v>457.0</v>
      </c>
      <c r="I7" s="1">
        <v>1030.0</v>
      </c>
      <c r="J7" s="1">
        <v>953.0</v>
      </c>
      <c r="K7" s="1">
        <v>747.0</v>
      </c>
      <c r="L7" s="2"/>
      <c r="M7" s="2"/>
      <c r="N7" s="2"/>
      <c r="O7" s="2"/>
      <c r="P7" s="2"/>
      <c r="Q7" s="2"/>
      <c r="R7" s="2"/>
      <c r="S7" s="2"/>
      <c r="T7" s="2"/>
      <c r="U7" s="2"/>
      <c r="V7" s="2"/>
      <c r="W7" s="2"/>
      <c r="X7" s="2"/>
      <c r="Y7" s="2"/>
      <c r="Z7" s="2"/>
    </row>
    <row r="8">
      <c r="A8" s="1" t="s">
        <v>70</v>
      </c>
      <c r="B8" s="1">
        <v>10.0</v>
      </c>
      <c r="C8" s="1">
        <v>13.0</v>
      </c>
      <c r="D8" s="1">
        <v>14.0</v>
      </c>
      <c r="E8" s="1">
        <v>16.0</v>
      </c>
      <c r="F8" s="1">
        <v>12.0</v>
      </c>
      <c r="G8" s="1">
        <v>11.0</v>
      </c>
      <c r="H8" s="1">
        <v>13.0</v>
      </c>
      <c r="I8" s="1">
        <v>72.0</v>
      </c>
      <c r="J8" s="1">
        <v>18.0</v>
      </c>
      <c r="K8" s="1">
        <v>21.0</v>
      </c>
      <c r="L8" s="2"/>
      <c r="M8" s="2"/>
      <c r="N8" s="2"/>
      <c r="O8" s="2"/>
      <c r="P8" s="2"/>
      <c r="Q8" s="2"/>
      <c r="R8" s="2"/>
      <c r="S8" s="2"/>
      <c r="T8" s="2"/>
      <c r="U8" s="2"/>
      <c r="V8" s="2"/>
      <c r="W8" s="2"/>
      <c r="X8" s="2"/>
      <c r="Y8" s="2"/>
      <c r="Z8" s="2"/>
    </row>
    <row r="9">
      <c r="A9" s="1" t="s">
        <v>71</v>
      </c>
      <c r="B9" s="1">
        <v>27.0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72</v>
      </c>
      <c r="B10" s="1">
        <v>9.0</v>
      </c>
      <c r="C10" s="1">
        <v>12.0</v>
      </c>
      <c r="D10" s="1">
        <v>20.0</v>
      </c>
      <c r="E10" s="1">
        <v>25.0</v>
      </c>
      <c r="F10" s="1">
        <v>26.0</v>
      </c>
      <c r="G10" s="1">
        <v>18.0</v>
      </c>
      <c r="H10" s="1">
        <v>18.0</v>
      </c>
      <c r="I10" s="1">
        <v>29.0</v>
      </c>
      <c r="J10" s="1">
        <v>37.0</v>
      </c>
      <c r="K10" s="1">
        <v>22.0</v>
      </c>
      <c r="L10" s="2"/>
      <c r="M10" s="2"/>
      <c r="N10" s="2"/>
      <c r="O10" s="2"/>
      <c r="P10" s="2"/>
      <c r="Q10" s="2"/>
      <c r="R10" s="2"/>
      <c r="S10" s="2"/>
      <c r="T10" s="2"/>
      <c r="U10" s="2"/>
      <c r="V10" s="2"/>
      <c r="W10" s="2"/>
      <c r="X10" s="2"/>
      <c r="Y10" s="2"/>
      <c r="Z10" s="2"/>
    </row>
    <row r="11">
      <c r="A11" s="1" t="s">
        <v>73</v>
      </c>
      <c r="B11" s="1">
        <v>4.0</v>
      </c>
      <c r="C11" s="1">
        <v>8.0</v>
      </c>
      <c r="D11" s="1">
        <v>13.0</v>
      </c>
      <c r="E11" s="1">
        <v>9.0</v>
      </c>
      <c r="F11" s="1">
        <v>12.0</v>
      </c>
      <c r="G11" s="1">
        <v>16.0</v>
      </c>
      <c r="H11" s="1">
        <v>15.0</v>
      </c>
      <c r="I11" s="1">
        <v>37.0</v>
      </c>
      <c r="J11" s="1">
        <v>19.0</v>
      </c>
      <c r="K11" s="1">
        <v>18.0</v>
      </c>
      <c r="L11" s="2"/>
      <c r="M11" s="2"/>
      <c r="N11" s="2"/>
      <c r="O11" s="2"/>
      <c r="P11" s="2"/>
      <c r="Q11" s="2"/>
      <c r="R11" s="2"/>
      <c r="S11" s="2"/>
      <c r="T11" s="2"/>
      <c r="U11" s="2"/>
      <c r="V11" s="2"/>
      <c r="W11" s="2"/>
      <c r="X11" s="2"/>
      <c r="Y11" s="2"/>
      <c r="Z11" s="2"/>
    </row>
    <row r="12">
      <c r="A12" s="1" t="s">
        <v>74</v>
      </c>
      <c r="B12" s="1">
        <v>283.0</v>
      </c>
      <c r="C12" s="1">
        <v>376.0</v>
      </c>
      <c r="D12" s="1">
        <v>451.0</v>
      </c>
      <c r="E12" s="1">
        <v>474.0</v>
      </c>
      <c r="F12" s="1">
        <v>482.0</v>
      </c>
      <c r="G12" s="1">
        <v>560.0</v>
      </c>
      <c r="H12" s="1">
        <v>534.0</v>
      </c>
      <c r="I12" s="1">
        <v>1350.0</v>
      </c>
      <c r="J12" s="1">
        <v>1090.0</v>
      </c>
      <c r="K12" s="1">
        <v>842.0</v>
      </c>
      <c r="L12" s="2"/>
      <c r="M12" s="2"/>
      <c r="N12" s="2"/>
      <c r="O12" s="2"/>
      <c r="P12" s="2"/>
      <c r="Q12" s="2"/>
      <c r="R12" s="2"/>
      <c r="S12" s="2"/>
      <c r="T12" s="2"/>
      <c r="U12" s="2"/>
      <c r="V12" s="2"/>
      <c r="W12" s="2"/>
      <c r="X12" s="2"/>
      <c r="Y12" s="2"/>
      <c r="Z12" s="2"/>
    </row>
    <row r="13">
      <c r="A13" s="1" t="s">
        <v>75</v>
      </c>
      <c r="B13" s="1">
        <v>102.0</v>
      </c>
      <c r="C13" s="1">
        <v>127.0</v>
      </c>
      <c r="D13" s="1">
        <v>145.0</v>
      </c>
      <c r="E13" s="1">
        <v>171.0</v>
      </c>
      <c r="F13" s="1">
        <v>205.0</v>
      </c>
      <c r="G13" s="1">
        <v>328.0</v>
      </c>
      <c r="H13" s="1">
        <v>356.0</v>
      </c>
      <c r="I13" s="1">
        <v>345.0</v>
      </c>
      <c r="J13" s="1">
        <v>393.0</v>
      </c>
      <c r="K13" s="1">
        <v>511.0</v>
      </c>
      <c r="L13" s="2"/>
      <c r="M13" s="2"/>
      <c r="N13" s="2"/>
      <c r="O13" s="2"/>
      <c r="P13" s="2"/>
      <c r="Q13" s="2"/>
      <c r="R13" s="2"/>
      <c r="S13" s="2"/>
      <c r="T13" s="2"/>
      <c r="U13" s="2"/>
      <c r="V13" s="2"/>
      <c r="W13" s="2"/>
      <c r="X13" s="2"/>
      <c r="Y13" s="2"/>
      <c r="Z13" s="2"/>
    </row>
    <row r="14">
      <c r="A14" s="1" t="s">
        <v>76</v>
      </c>
      <c r="B14" s="1">
        <v>-68.0</v>
      </c>
      <c r="C14" s="1">
        <v>-76.0</v>
      </c>
      <c r="D14" s="1">
        <v>-84.0</v>
      </c>
      <c r="E14" s="1">
        <v>-97.0</v>
      </c>
      <c r="F14" s="1">
        <v>-114.0</v>
      </c>
      <c r="G14" s="1">
        <v>-133.0</v>
      </c>
      <c r="H14" s="1">
        <v>-162.0</v>
      </c>
      <c r="I14" s="1">
        <v>-190.0</v>
      </c>
      <c r="J14" s="1">
        <v>-228.0</v>
      </c>
      <c r="K14" s="1">
        <v>-285.0</v>
      </c>
      <c r="L14" s="2"/>
      <c r="M14" s="2"/>
      <c r="N14" s="2"/>
      <c r="O14" s="2"/>
      <c r="P14" s="2"/>
      <c r="Q14" s="2"/>
      <c r="R14" s="2"/>
      <c r="S14" s="2"/>
      <c r="T14" s="2"/>
      <c r="U14" s="2"/>
      <c r="V14" s="2"/>
      <c r="W14" s="2"/>
      <c r="X14" s="2"/>
      <c r="Y14" s="2"/>
      <c r="Z14" s="2"/>
    </row>
    <row r="15">
      <c r="A15" s="1" t="s">
        <v>77</v>
      </c>
      <c r="B15" s="1">
        <v>32.0</v>
      </c>
      <c r="C15" s="1">
        <v>50.0</v>
      </c>
      <c r="D15" s="1">
        <v>59.0</v>
      </c>
      <c r="E15" s="1">
        <v>73.0</v>
      </c>
      <c r="F15" s="1">
        <v>90.0</v>
      </c>
      <c r="G15" s="1">
        <v>195.0</v>
      </c>
      <c r="H15" s="1">
        <v>194.0</v>
      </c>
      <c r="I15" s="1">
        <v>155.0</v>
      </c>
      <c r="J15" s="1">
        <v>166.0</v>
      </c>
      <c r="K15" s="1">
        <v>226.0</v>
      </c>
      <c r="L15" s="2"/>
      <c r="M15" s="2"/>
      <c r="N15" s="2"/>
      <c r="O15" s="2"/>
      <c r="P15" s="2"/>
      <c r="Q15" s="2"/>
      <c r="R15" s="2"/>
      <c r="S15" s="2"/>
      <c r="T15" s="2"/>
      <c r="U15" s="2"/>
      <c r="V15" s="2"/>
      <c r="W15" s="2"/>
      <c r="X15" s="2"/>
      <c r="Y15" s="2"/>
      <c r="Z15" s="2"/>
    </row>
    <row r="16">
      <c r="A16" s="1" t="s">
        <v>78</v>
      </c>
      <c r="B16" s="1">
        <v>0.0</v>
      </c>
      <c r="C16" s="1">
        <v>16.0</v>
      </c>
      <c r="D16" s="1">
        <v>2.0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79</v>
      </c>
      <c r="B17" s="1">
        <v>154.0</v>
      </c>
      <c r="C17" s="1">
        <v>205.0</v>
      </c>
      <c r="D17" s="1">
        <v>342.0</v>
      </c>
      <c r="E17" s="1">
        <v>341.0</v>
      </c>
      <c r="F17" s="1">
        <v>439.0</v>
      </c>
      <c r="G17" s="1">
        <v>596.0</v>
      </c>
      <c r="H17" s="1">
        <v>864.0</v>
      </c>
      <c r="I17" s="1">
        <v>892.0</v>
      </c>
      <c r="J17" s="1">
        <v>935.0</v>
      </c>
      <c r="K17" s="1">
        <v>1110.0</v>
      </c>
      <c r="L17" s="2"/>
      <c r="M17" s="2"/>
      <c r="N17" s="2"/>
      <c r="O17" s="2"/>
      <c r="P17" s="2"/>
      <c r="Q17" s="2"/>
      <c r="R17" s="2"/>
      <c r="S17" s="2"/>
      <c r="T17" s="2"/>
      <c r="U17" s="2"/>
      <c r="V17" s="2"/>
      <c r="W17" s="2"/>
      <c r="X17" s="2"/>
      <c r="Y17" s="2"/>
      <c r="Z17" s="2"/>
    </row>
    <row r="18">
      <c r="A18" s="1" t="s">
        <v>80</v>
      </c>
      <c r="B18" s="1">
        <v>153.0</v>
      </c>
      <c r="C18" s="1">
        <v>175.0</v>
      </c>
      <c r="D18" s="1">
        <v>246.0</v>
      </c>
      <c r="E18" s="1">
        <v>227.0</v>
      </c>
      <c r="F18" s="1">
        <v>326.0</v>
      </c>
      <c r="G18" s="1">
        <v>398.0</v>
      </c>
      <c r="H18" s="1">
        <v>565.0</v>
      </c>
      <c r="I18" s="1">
        <v>514.0</v>
      </c>
      <c r="J18" s="1">
        <v>477.0</v>
      </c>
      <c r="K18" s="1">
        <v>474.0</v>
      </c>
      <c r="L18" s="2"/>
      <c r="M18" s="2"/>
      <c r="N18" s="2"/>
      <c r="O18" s="2"/>
      <c r="P18" s="2"/>
      <c r="Q18" s="2"/>
      <c r="R18" s="2"/>
      <c r="S18" s="2"/>
      <c r="T18" s="2"/>
      <c r="U18" s="2"/>
      <c r="V18" s="2"/>
      <c r="W18" s="2"/>
      <c r="X18" s="2"/>
      <c r="Y18" s="2"/>
      <c r="Z18" s="2"/>
    </row>
    <row r="19">
      <c r="A19" s="1" t="s">
        <v>81</v>
      </c>
      <c r="B19" s="1">
        <v>59.0</v>
      </c>
      <c r="C19" s="1">
        <v>74.0</v>
      </c>
      <c r="D19" s="1">
        <v>88.0</v>
      </c>
      <c r="E19" s="1">
        <v>139.0</v>
      </c>
      <c r="F19" s="1">
        <v>155.0</v>
      </c>
      <c r="G19" s="1">
        <v>182.0</v>
      </c>
      <c r="H19" s="1">
        <v>196.0</v>
      </c>
      <c r="I19" s="1">
        <v>221.0</v>
      </c>
      <c r="J19" s="1">
        <v>217.0</v>
      </c>
      <c r="K19" s="1">
        <v>271.0</v>
      </c>
      <c r="L19" s="2"/>
      <c r="M19" s="2"/>
      <c r="N19" s="2"/>
      <c r="O19" s="2"/>
      <c r="P19" s="2"/>
      <c r="Q19" s="2"/>
      <c r="R19" s="2"/>
      <c r="S19" s="2"/>
      <c r="T19" s="2"/>
      <c r="U19" s="2"/>
      <c r="V19" s="2"/>
      <c r="W19" s="2"/>
      <c r="X19" s="2"/>
      <c r="Y19" s="2"/>
      <c r="Z19" s="2"/>
    </row>
    <row r="20">
      <c r="A20" s="1" t="s">
        <v>82</v>
      </c>
      <c r="B20" s="1">
        <v>682.0</v>
      </c>
      <c r="C20" s="1">
        <v>880.0</v>
      </c>
      <c r="D20" s="1">
        <v>1190.0</v>
      </c>
      <c r="E20" s="1">
        <v>1250.0</v>
      </c>
      <c r="F20" s="1">
        <v>1490.0</v>
      </c>
      <c r="G20" s="1">
        <v>1930.0</v>
      </c>
      <c r="H20" s="1">
        <v>2350.0</v>
      </c>
      <c r="I20" s="1">
        <v>3130.0</v>
      </c>
      <c r="J20" s="1">
        <v>2890.0</v>
      </c>
      <c r="K20" s="1">
        <v>2920.0</v>
      </c>
      <c r="L20" s="2"/>
      <c r="M20" s="2"/>
      <c r="N20" s="2"/>
      <c r="O20" s="2"/>
      <c r="P20" s="2"/>
      <c r="Q20" s="2"/>
      <c r="R20" s="2"/>
      <c r="S20" s="2"/>
      <c r="T20" s="2"/>
      <c r="U20" s="2"/>
      <c r="V20" s="2"/>
      <c r="W20" s="2"/>
      <c r="X20" s="2"/>
      <c r="Y20" s="2"/>
      <c r="Z20" s="2"/>
    </row>
    <row r="21" ht="15.75" customHeight="1">
      <c r="A21" s="1" t="s">
        <v>83</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84</v>
      </c>
      <c r="B22" s="1">
        <v>63.0</v>
      </c>
      <c r="C22" s="1">
        <v>109.0</v>
      </c>
      <c r="D22" s="1">
        <v>85.0</v>
      </c>
      <c r="E22" s="1">
        <v>73.0</v>
      </c>
      <c r="F22" s="1">
        <v>82.0</v>
      </c>
      <c r="G22" s="1">
        <v>103.0</v>
      </c>
      <c r="H22" s="1">
        <v>107.0</v>
      </c>
      <c r="I22" s="1">
        <v>339.0</v>
      </c>
      <c r="J22" s="1">
        <v>373.0</v>
      </c>
      <c r="K22" s="1">
        <v>177.0</v>
      </c>
      <c r="L22" s="2"/>
      <c r="M22" s="2"/>
      <c r="N22" s="2"/>
      <c r="O22" s="2"/>
      <c r="P22" s="2"/>
      <c r="Q22" s="2"/>
      <c r="R22" s="2"/>
      <c r="S22" s="2"/>
      <c r="T22" s="2"/>
      <c r="U22" s="2"/>
      <c r="V22" s="2"/>
      <c r="W22" s="2"/>
      <c r="X22" s="2"/>
      <c r="Y22" s="2"/>
      <c r="Z22" s="2"/>
    </row>
    <row r="23" ht="15.75" customHeight="1">
      <c r="A23" s="1" t="s">
        <v>85</v>
      </c>
      <c r="B23" s="1">
        <v>75.0</v>
      </c>
      <c r="C23" s="1">
        <v>91.0</v>
      </c>
      <c r="D23" s="1">
        <v>155.0</v>
      </c>
      <c r="E23" s="1">
        <v>169.0</v>
      </c>
      <c r="F23" s="1">
        <v>174.0</v>
      </c>
      <c r="G23" s="1">
        <v>215.0</v>
      </c>
      <c r="H23" s="1">
        <v>260.0</v>
      </c>
      <c r="I23" s="1">
        <v>423.0</v>
      </c>
      <c r="J23" s="1">
        <v>415.0</v>
      </c>
      <c r="K23" s="1">
        <v>369.0</v>
      </c>
      <c r="L23" s="2"/>
      <c r="M23" s="2"/>
      <c r="N23" s="2"/>
      <c r="O23" s="2"/>
      <c r="P23" s="2"/>
      <c r="Q23" s="2"/>
      <c r="R23" s="2"/>
      <c r="S23" s="2"/>
      <c r="T23" s="2"/>
      <c r="U23" s="2"/>
      <c r="V23" s="2"/>
      <c r="W23" s="2"/>
      <c r="X23" s="2"/>
      <c r="Y23" s="2"/>
      <c r="Z23" s="2"/>
    </row>
    <row r="24" ht="15.75" customHeight="1">
      <c r="A24" s="1" t="s">
        <v>86</v>
      </c>
      <c r="B24" s="1">
        <v>24.0</v>
      </c>
      <c r="C24" s="1">
        <v>12.0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87</v>
      </c>
      <c r="B25" s="1">
        <v>7.0</v>
      </c>
      <c r="C25" s="1">
        <v>37.0</v>
      </c>
      <c r="D25" s="1">
        <v>3.0</v>
      </c>
      <c r="E25" s="1">
        <v>0.0</v>
      </c>
      <c r="F25" s="1">
        <v>0.0</v>
      </c>
      <c r="G25" s="1">
        <v>0.0</v>
      </c>
      <c r="H25" s="1">
        <v>4.0</v>
      </c>
      <c r="I25" s="1">
        <v>0.0</v>
      </c>
      <c r="J25" s="1">
        <v>0.0</v>
      </c>
      <c r="K25" s="1">
        <v>0.0</v>
      </c>
      <c r="L25" s="2"/>
      <c r="M25" s="2"/>
      <c r="N25" s="2"/>
      <c r="O25" s="2"/>
      <c r="P25" s="2"/>
      <c r="Q25" s="2"/>
      <c r="R25" s="2"/>
      <c r="S25" s="2"/>
      <c r="T25" s="2"/>
      <c r="U25" s="2"/>
      <c r="V25" s="2"/>
      <c r="W25" s="2"/>
      <c r="X25" s="2"/>
      <c r="Y25" s="2"/>
      <c r="Z25" s="2"/>
    </row>
    <row r="26" ht="15.75" customHeight="1">
      <c r="A26" s="1" t="s">
        <v>88</v>
      </c>
      <c r="B26" s="1">
        <v>0.0</v>
      </c>
      <c r="C26" s="1">
        <v>0.0</v>
      </c>
      <c r="D26" s="1">
        <v>0.0</v>
      </c>
      <c r="E26" s="1">
        <v>0.0</v>
      </c>
      <c r="F26" s="1">
        <v>0.0</v>
      </c>
      <c r="G26" s="1">
        <v>13.0</v>
      </c>
      <c r="H26" s="1">
        <v>15.0</v>
      </c>
      <c r="I26" s="1">
        <v>11.0</v>
      </c>
      <c r="J26" s="1">
        <v>8.0</v>
      </c>
      <c r="K26" s="1">
        <v>7.0</v>
      </c>
      <c r="L26" s="2"/>
      <c r="M26" s="2"/>
      <c r="N26" s="2"/>
      <c r="O26" s="2"/>
      <c r="P26" s="2"/>
      <c r="Q26" s="2"/>
      <c r="R26" s="2"/>
      <c r="S26" s="2"/>
      <c r="T26" s="2"/>
      <c r="U26" s="2"/>
      <c r="V26" s="2"/>
      <c r="W26" s="2"/>
      <c r="X26" s="2"/>
      <c r="Y26" s="2"/>
      <c r="Z26" s="2"/>
    </row>
    <row r="27" ht="15.75" customHeight="1">
      <c r="A27" s="1" t="s">
        <v>89</v>
      </c>
      <c r="B27" s="1">
        <v>0.0</v>
      </c>
      <c r="C27" s="1">
        <v>0.0</v>
      </c>
      <c r="D27" s="1">
        <v>0.0</v>
      </c>
      <c r="E27" s="1">
        <v>0.0</v>
      </c>
      <c r="F27" s="1">
        <v>0.0</v>
      </c>
      <c r="G27" s="1">
        <v>0.0</v>
      </c>
      <c r="H27" s="1">
        <v>0.0</v>
      </c>
      <c r="I27" s="1">
        <v>21.0</v>
      </c>
      <c r="J27" s="1">
        <v>0.0</v>
      </c>
      <c r="K27" s="1">
        <v>0.0</v>
      </c>
      <c r="L27" s="2"/>
      <c r="M27" s="2"/>
      <c r="N27" s="2"/>
      <c r="O27" s="2"/>
      <c r="P27" s="2"/>
      <c r="Q27" s="2"/>
      <c r="R27" s="2"/>
      <c r="S27" s="2"/>
      <c r="T27" s="2"/>
      <c r="U27" s="2"/>
      <c r="V27" s="2"/>
      <c r="W27" s="2"/>
      <c r="X27" s="2"/>
      <c r="Y27" s="2"/>
      <c r="Z27" s="2"/>
    </row>
    <row r="28" ht="15.75" customHeight="1">
      <c r="A28" s="1" t="s">
        <v>90</v>
      </c>
      <c r="B28" s="1">
        <v>3.0</v>
      </c>
      <c r="C28" s="1">
        <v>5.0</v>
      </c>
      <c r="D28" s="1">
        <v>8.0</v>
      </c>
      <c r="E28" s="1">
        <v>8.0</v>
      </c>
      <c r="F28" s="1">
        <v>12.0</v>
      </c>
      <c r="G28" s="1">
        <v>11.0</v>
      </c>
      <c r="H28" s="1">
        <v>11.0</v>
      </c>
      <c r="I28" s="1">
        <v>15.0</v>
      </c>
      <c r="J28" s="1">
        <v>11.0</v>
      </c>
      <c r="K28" s="1">
        <v>11.0</v>
      </c>
      <c r="L28" s="2"/>
      <c r="M28" s="2"/>
      <c r="N28" s="2"/>
      <c r="O28" s="2"/>
      <c r="P28" s="2"/>
      <c r="Q28" s="2"/>
      <c r="R28" s="2"/>
      <c r="S28" s="2"/>
      <c r="T28" s="2"/>
      <c r="U28" s="2"/>
      <c r="V28" s="2"/>
      <c r="W28" s="2"/>
      <c r="X28" s="2"/>
      <c r="Y28" s="2"/>
      <c r="Z28" s="2"/>
    </row>
    <row r="29" ht="15.75" customHeight="1">
      <c r="A29" s="1" t="s">
        <v>91</v>
      </c>
      <c r="B29" s="1">
        <v>4.0</v>
      </c>
      <c r="C29" s="1">
        <v>6.0</v>
      </c>
      <c r="D29" s="1">
        <v>21.0</v>
      </c>
      <c r="E29" s="1">
        <v>14.0</v>
      </c>
      <c r="F29" s="1">
        <v>38.0</v>
      </c>
      <c r="G29" s="1">
        <v>34.0</v>
      </c>
      <c r="H29" s="1">
        <v>24.0</v>
      </c>
      <c r="I29" s="1">
        <v>159.0</v>
      </c>
      <c r="J29" s="1">
        <v>49.0</v>
      </c>
      <c r="K29" s="1">
        <v>91.0</v>
      </c>
      <c r="L29" s="2"/>
      <c r="M29" s="2"/>
      <c r="N29" s="2"/>
      <c r="O29" s="2"/>
      <c r="P29" s="2"/>
      <c r="Q29" s="2"/>
      <c r="R29" s="2"/>
      <c r="S29" s="2"/>
      <c r="T29" s="2"/>
      <c r="U29" s="2"/>
      <c r="V29" s="2"/>
      <c r="W29" s="2"/>
      <c r="X29" s="2"/>
      <c r="Y29" s="2"/>
      <c r="Z29" s="2"/>
    </row>
    <row r="30" ht="15.75" customHeight="1">
      <c r="A30" s="1" t="s">
        <v>92</v>
      </c>
      <c r="B30" s="1">
        <v>178.0</v>
      </c>
      <c r="C30" s="1">
        <v>251.0</v>
      </c>
      <c r="D30" s="1">
        <v>275.0</v>
      </c>
      <c r="E30" s="1">
        <v>265.0</v>
      </c>
      <c r="F30" s="1">
        <v>307.0</v>
      </c>
      <c r="G30" s="1">
        <v>378.0</v>
      </c>
      <c r="H30" s="1">
        <v>423.0</v>
      </c>
      <c r="I30" s="1">
        <v>969.0</v>
      </c>
      <c r="J30" s="1">
        <v>858.0</v>
      </c>
      <c r="K30" s="1">
        <v>656.0</v>
      </c>
      <c r="L30" s="2"/>
      <c r="M30" s="2"/>
      <c r="N30" s="2"/>
      <c r="O30" s="2"/>
      <c r="P30" s="2"/>
      <c r="Q30" s="2"/>
      <c r="R30" s="2"/>
      <c r="S30" s="2"/>
      <c r="T30" s="2"/>
      <c r="U30" s="2"/>
      <c r="V30" s="2"/>
      <c r="W30" s="2"/>
      <c r="X30" s="2"/>
      <c r="Y30" s="2"/>
      <c r="Z30" s="2"/>
    </row>
    <row r="31" ht="15.75" customHeight="1">
      <c r="A31" s="1" t="s">
        <v>93</v>
      </c>
      <c r="B31" s="1">
        <v>137.0</v>
      </c>
      <c r="C31" s="1">
        <v>181.0</v>
      </c>
      <c r="D31" s="1">
        <v>359.0</v>
      </c>
      <c r="E31" s="1">
        <v>320.0</v>
      </c>
      <c r="F31" s="1">
        <v>441.0</v>
      </c>
      <c r="G31" s="1">
        <v>617.0</v>
      </c>
      <c r="H31" s="1">
        <v>858.0</v>
      </c>
      <c r="I31" s="1">
        <v>842.0</v>
      </c>
      <c r="J31" s="1">
        <v>844.0</v>
      </c>
      <c r="K31" s="1">
        <v>1300.0</v>
      </c>
      <c r="L31" s="2"/>
      <c r="M31" s="2"/>
      <c r="N31" s="2"/>
      <c r="O31" s="2"/>
      <c r="P31" s="2"/>
      <c r="Q31" s="2"/>
      <c r="R31" s="2"/>
      <c r="S31" s="2"/>
      <c r="T31" s="2"/>
      <c r="U31" s="2"/>
      <c r="V31" s="2"/>
      <c r="W31" s="2"/>
      <c r="X31" s="2"/>
      <c r="Y31" s="2"/>
      <c r="Z31" s="2"/>
    </row>
    <row r="32" ht="15.75" customHeight="1">
      <c r="A32" s="1" t="s">
        <v>94</v>
      </c>
      <c r="B32" s="1">
        <v>0.0</v>
      </c>
      <c r="C32" s="1">
        <v>0.0</v>
      </c>
      <c r="D32" s="1">
        <v>0.0</v>
      </c>
      <c r="E32" s="1">
        <v>0.0</v>
      </c>
      <c r="F32" s="1">
        <v>0.0</v>
      </c>
      <c r="G32" s="1">
        <v>91.0</v>
      </c>
      <c r="H32" s="1">
        <v>77.0</v>
      </c>
      <c r="I32" s="1">
        <v>13.0</v>
      </c>
      <c r="J32" s="1">
        <v>9.0</v>
      </c>
      <c r="K32" s="1">
        <v>37.0</v>
      </c>
      <c r="L32" s="2"/>
      <c r="M32" s="2"/>
      <c r="N32" s="2"/>
      <c r="O32" s="2"/>
      <c r="P32" s="2"/>
      <c r="Q32" s="2"/>
      <c r="R32" s="2"/>
      <c r="S32" s="2"/>
      <c r="T32" s="2"/>
      <c r="U32" s="2"/>
      <c r="V32" s="2"/>
      <c r="W32" s="2"/>
      <c r="X32" s="2"/>
      <c r="Y32" s="2"/>
      <c r="Z32" s="2"/>
    </row>
    <row r="33" ht="15.75" customHeight="1">
      <c r="A33" s="1" t="s">
        <v>95</v>
      </c>
      <c r="B33" s="1">
        <v>0.0</v>
      </c>
      <c r="C33" s="1">
        <v>0.0</v>
      </c>
      <c r="D33" s="1">
        <v>0.0</v>
      </c>
      <c r="E33" s="1">
        <v>0.0</v>
      </c>
      <c r="F33" s="1">
        <v>86.0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96</v>
      </c>
      <c r="B34" s="1">
        <v>32.0</v>
      </c>
      <c r="C34" s="1">
        <v>22.0</v>
      </c>
      <c r="D34" s="1">
        <v>21.0</v>
      </c>
      <c r="E34" s="1">
        <v>27.0</v>
      </c>
      <c r="F34" s="1">
        <v>27.0</v>
      </c>
      <c r="G34" s="1">
        <v>46.0</v>
      </c>
      <c r="H34" s="1">
        <v>67.0</v>
      </c>
      <c r="I34" s="1">
        <v>47.0</v>
      </c>
      <c r="J34" s="1">
        <v>22.0</v>
      </c>
      <c r="K34" s="1">
        <v>23.0</v>
      </c>
      <c r="L34" s="2"/>
      <c r="M34" s="2"/>
      <c r="N34" s="2"/>
      <c r="O34" s="2"/>
      <c r="P34" s="2"/>
      <c r="Q34" s="2"/>
      <c r="R34" s="2"/>
      <c r="S34" s="2"/>
      <c r="T34" s="2"/>
      <c r="U34" s="2"/>
      <c r="V34" s="2"/>
      <c r="W34" s="2"/>
      <c r="X34" s="2"/>
      <c r="Y34" s="2"/>
      <c r="Z34" s="2"/>
    </row>
    <row r="35" ht="15.75" customHeight="1">
      <c r="A35" s="1" t="s">
        <v>97</v>
      </c>
      <c r="B35" s="1">
        <v>77.0</v>
      </c>
      <c r="C35" s="1">
        <v>78.0</v>
      </c>
      <c r="D35" s="1">
        <v>82.0</v>
      </c>
      <c r="E35" s="1">
        <v>79.0</v>
      </c>
      <c r="F35" s="1">
        <v>77.0</v>
      </c>
      <c r="G35" s="1">
        <v>61.0</v>
      </c>
      <c r="H35" s="1">
        <v>108.0</v>
      </c>
      <c r="I35" s="1">
        <v>96.0</v>
      </c>
      <c r="J35" s="1">
        <v>111.0</v>
      </c>
      <c r="K35" s="1">
        <v>71.0</v>
      </c>
      <c r="L35" s="2"/>
      <c r="M35" s="2"/>
      <c r="N35" s="2"/>
      <c r="O35" s="2"/>
      <c r="P35" s="2"/>
      <c r="Q35" s="2"/>
      <c r="R35" s="2"/>
      <c r="S35" s="2"/>
      <c r="T35" s="2"/>
      <c r="U35" s="2"/>
      <c r="V35" s="2"/>
      <c r="W35" s="2"/>
      <c r="X35" s="2"/>
      <c r="Y35" s="2"/>
      <c r="Z35" s="2"/>
    </row>
    <row r="36" ht="15.75" customHeight="1">
      <c r="A36" s="1" t="s">
        <v>98</v>
      </c>
      <c r="B36" s="1">
        <v>425.0</v>
      </c>
      <c r="C36" s="1">
        <v>533.0</v>
      </c>
      <c r="D36" s="1">
        <v>737.0</v>
      </c>
      <c r="E36" s="1">
        <v>691.0</v>
      </c>
      <c r="F36" s="1">
        <v>854.0</v>
      </c>
      <c r="G36" s="1">
        <v>1190.0</v>
      </c>
      <c r="H36" s="1">
        <v>1530.0</v>
      </c>
      <c r="I36" s="1">
        <v>1970.0</v>
      </c>
      <c r="J36" s="1">
        <v>1840.0</v>
      </c>
      <c r="K36" s="1">
        <v>2090.0</v>
      </c>
      <c r="L36" s="2"/>
      <c r="M36" s="2"/>
      <c r="N36" s="2"/>
      <c r="O36" s="2"/>
      <c r="P36" s="2"/>
      <c r="Q36" s="2"/>
      <c r="R36" s="2"/>
      <c r="S36" s="2"/>
      <c r="T36" s="2"/>
      <c r="U36" s="2"/>
      <c r="V36" s="2"/>
      <c r="W36" s="2"/>
      <c r="X36" s="2"/>
      <c r="Y36" s="2"/>
      <c r="Z36" s="2"/>
    </row>
    <row r="37" ht="15.75" customHeight="1">
      <c r="A37" s="1" t="s">
        <v>99</v>
      </c>
      <c r="B37" s="1">
        <v>46.0</v>
      </c>
      <c r="C37" s="1">
        <v>47.0</v>
      </c>
      <c r="D37" s="1">
        <v>48.0</v>
      </c>
      <c r="E37" s="1">
        <v>48.0</v>
      </c>
      <c r="F37" s="1">
        <v>48.0</v>
      </c>
      <c r="G37" s="1">
        <v>49.0</v>
      </c>
      <c r="H37" s="1">
        <v>49.0</v>
      </c>
      <c r="I37" s="1">
        <v>49.0</v>
      </c>
      <c r="J37" s="1">
        <v>50.0</v>
      </c>
      <c r="K37" s="1">
        <v>50.0</v>
      </c>
      <c r="L37" s="2"/>
      <c r="M37" s="2"/>
      <c r="N37" s="2"/>
      <c r="O37" s="2"/>
      <c r="P37" s="2"/>
      <c r="Q37" s="2"/>
      <c r="R37" s="2"/>
      <c r="S37" s="2"/>
      <c r="T37" s="2"/>
      <c r="U37" s="2"/>
      <c r="V37" s="2"/>
      <c r="W37" s="2"/>
      <c r="X37" s="2"/>
      <c r="Y37" s="2"/>
      <c r="Z37" s="2"/>
    </row>
    <row r="38" ht="15.75" customHeight="1">
      <c r="A38" s="1" t="s">
        <v>100</v>
      </c>
      <c r="B38" s="1">
        <v>435.0</v>
      </c>
      <c r="C38" s="1">
        <v>444.0</v>
      </c>
      <c r="D38" s="1">
        <v>452.0</v>
      </c>
      <c r="E38" s="1">
        <v>453.0</v>
      </c>
      <c r="F38" s="1">
        <v>453.0</v>
      </c>
      <c r="G38" s="1">
        <v>455.0</v>
      </c>
      <c r="H38" s="1">
        <v>469.0</v>
      </c>
      <c r="I38" s="1">
        <v>487.0</v>
      </c>
      <c r="J38" s="1">
        <v>502.0</v>
      </c>
      <c r="K38" s="1">
        <v>507.0</v>
      </c>
      <c r="L38" s="2"/>
      <c r="M38" s="2"/>
      <c r="N38" s="2"/>
      <c r="O38" s="2"/>
      <c r="P38" s="2"/>
      <c r="Q38" s="2"/>
      <c r="R38" s="2"/>
      <c r="S38" s="2"/>
      <c r="T38" s="2"/>
      <c r="U38" s="2"/>
      <c r="V38" s="2"/>
      <c r="W38" s="2"/>
      <c r="X38" s="2"/>
      <c r="Y38" s="2"/>
      <c r="Z38" s="2"/>
    </row>
    <row r="39" ht="15.75" customHeight="1">
      <c r="A39" s="1" t="s">
        <v>101</v>
      </c>
      <c r="B39" s="1">
        <v>-178.0</v>
      </c>
      <c r="C39" s="1">
        <v>-96.0</v>
      </c>
      <c r="D39" s="1">
        <v>9.0</v>
      </c>
      <c r="E39" s="1">
        <v>142.0</v>
      </c>
      <c r="F39" s="1">
        <v>286.0</v>
      </c>
      <c r="G39" s="1">
        <v>400.0</v>
      </c>
      <c r="H39" s="1">
        <v>470.0</v>
      </c>
      <c r="I39" s="1">
        <v>797.0</v>
      </c>
      <c r="J39" s="1">
        <v>1240.0</v>
      </c>
      <c r="K39" s="1">
        <v>1450.0</v>
      </c>
      <c r="L39" s="2"/>
      <c r="M39" s="2"/>
      <c r="N39" s="2"/>
      <c r="O39" s="2"/>
      <c r="P39" s="2"/>
      <c r="Q39" s="2"/>
      <c r="R39" s="2"/>
      <c r="S39" s="2"/>
      <c r="T39" s="2"/>
      <c r="U39" s="2"/>
      <c r="V39" s="2"/>
      <c r="W39" s="2"/>
      <c r="X39" s="2"/>
      <c r="Y39" s="2"/>
      <c r="Z39" s="2"/>
    </row>
    <row r="40" ht="15.75" customHeight="1">
      <c r="A40" s="1" t="s">
        <v>102</v>
      </c>
      <c r="B40" s="1">
        <v>0.0</v>
      </c>
      <c r="C40" s="1">
        <v>0.0</v>
      </c>
      <c r="D40" s="1">
        <v>-13.0</v>
      </c>
      <c r="E40" s="1">
        <v>-33.0</v>
      </c>
      <c r="F40" s="1">
        <v>-100.0</v>
      </c>
      <c r="G40" s="1">
        <v>-119.0</v>
      </c>
      <c r="H40" s="1">
        <v>-119.0</v>
      </c>
      <c r="I40" s="1">
        <v>-122.0</v>
      </c>
      <c r="J40" s="1">
        <v>-699.0</v>
      </c>
      <c r="K40" s="1">
        <v>-1130.0</v>
      </c>
      <c r="L40" s="2"/>
      <c r="M40" s="2"/>
      <c r="N40" s="2"/>
      <c r="O40" s="2"/>
      <c r="P40" s="2"/>
      <c r="Q40" s="2"/>
      <c r="R40" s="2"/>
      <c r="S40" s="2"/>
      <c r="T40" s="2"/>
      <c r="U40" s="2"/>
      <c r="V40" s="2"/>
      <c r="W40" s="2"/>
      <c r="X40" s="2"/>
      <c r="Y40" s="2"/>
      <c r="Z40" s="2"/>
    </row>
    <row r="41" ht="15.75" customHeight="1">
      <c r="A41" s="1" t="s">
        <v>103</v>
      </c>
      <c r="B41" s="1">
        <v>-35.0</v>
      </c>
      <c r="C41" s="1">
        <v>-18.0</v>
      </c>
      <c r="D41" s="1">
        <v>0.0</v>
      </c>
      <c r="E41" s="1">
        <v>-11.0</v>
      </c>
      <c r="F41" s="1">
        <v>15.0</v>
      </c>
      <c r="G41" s="1">
        <v>15.0</v>
      </c>
      <c r="H41" s="1">
        <v>4.0</v>
      </c>
      <c r="I41" s="1">
        <v>-29.0</v>
      </c>
      <c r="J41" s="1">
        <v>-93.0</v>
      </c>
      <c r="K41" s="1">
        <v>-42.0</v>
      </c>
      <c r="L41" s="2"/>
      <c r="M41" s="2"/>
      <c r="N41" s="2"/>
      <c r="O41" s="2"/>
      <c r="P41" s="2"/>
      <c r="Q41" s="2"/>
      <c r="R41" s="2"/>
      <c r="S41" s="2"/>
      <c r="T41" s="2"/>
      <c r="U41" s="2"/>
      <c r="V41" s="2"/>
      <c r="W41" s="2"/>
      <c r="X41" s="2"/>
      <c r="Y41" s="2"/>
      <c r="Z41" s="2"/>
    </row>
    <row r="42" ht="15.75" customHeight="1">
      <c r="A42" s="1" t="s">
        <v>104</v>
      </c>
      <c r="B42" s="1">
        <v>257.0</v>
      </c>
      <c r="C42" s="1">
        <v>348.0</v>
      </c>
      <c r="D42" s="1">
        <v>449.0</v>
      </c>
      <c r="E42" s="1">
        <v>563.0</v>
      </c>
      <c r="F42" s="1">
        <v>639.0</v>
      </c>
      <c r="G42" s="1">
        <v>737.0</v>
      </c>
      <c r="H42" s="1">
        <v>820.0</v>
      </c>
      <c r="I42" s="1">
        <v>1160.0</v>
      </c>
      <c r="J42" s="1">
        <v>1040.0</v>
      </c>
      <c r="K42" s="1">
        <v>831.0</v>
      </c>
      <c r="L42" s="2"/>
      <c r="M42" s="2"/>
      <c r="N42" s="2"/>
      <c r="O42" s="2"/>
      <c r="P42" s="2"/>
      <c r="Q42" s="2"/>
      <c r="R42" s="2"/>
      <c r="S42" s="2"/>
      <c r="T42" s="2"/>
      <c r="U42" s="2"/>
      <c r="V42" s="2"/>
      <c r="W42" s="2"/>
      <c r="X42" s="2"/>
      <c r="Y42" s="2"/>
      <c r="Z42" s="2"/>
    </row>
    <row r="43" ht="15.75" customHeight="1">
      <c r="A43" s="1" t="s">
        <v>105</v>
      </c>
      <c r="B43" s="1">
        <v>257.0</v>
      </c>
      <c r="C43" s="1">
        <v>348.0</v>
      </c>
      <c r="D43" s="1">
        <v>449.0</v>
      </c>
      <c r="E43" s="1">
        <v>563.0</v>
      </c>
      <c r="F43" s="1">
        <v>639.0</v>
      </c>
      <c r="G43" s="1">
        <v>737.0</v>
      </c>
      <c r="H43" s="1">
        <v>820.0</v>
      </c>
      <c r="I43" s="1">
        <v>1160.0</v>
      </c>
      <c r="J43" s="1">
        <v>1040.0</v>
      </c>
      <c r="K43" s="1">
        <v>831.0</v>
      </c>
      <c r="L43" s="2"/>
      <c r="M43" s="2"/>
      <c r="N43" s="2"/>
      <c r="O43" s="2"/>
      <c r="P43" s="2"/>
      <c r="Q43" s="2"/>
      <c r="R43" s="2"/>
      <c r="S43" s="2"/>
      <c r="T43" s="2"/>
      <c r="U43" s="2"/>
      <c r="V43" s="2"/>
      <c r="W43" s="2"/>
      <c r="X43" s="2"/>
      <c r="Y43" s="2"/>
      <c r="Z43" s="2"/>
    </row>
    <row r="44" ht="15.75" customHeight="1">
      <c r="A44" s="1" t="s">
        <v>106</v>
      </c>
      <c r="B44" s="1">
        <v>682.0</v>
      </c>
      <c r="C44" s="1">
        <v>880.0</v>
      </c>
      <c r="D44" s="1">
        <v>1190.0</v>
      </c>
      <c r="E44" s="1">
        <v>1250.0</v>
      </c>
      <c r="F44" s="1">
        <v>1490.0</v>
      </c>
      <c r="G44" s="1">
        <v>1930.0</v>
      </c>
      <c r="H44" s="1">
        <v>2350.0</v>
      </c>
      <c r="I44" s="1">
        <v>3130.0</v>
      </c>
      <c r="J44" s="1">
        <v>2890.0</v>
      </c>
      <c r="K44" s="1">
        <v>2920.0</v>
      </c>
      <c r="L44" s="2"/>
      <c r="M44" s="2"/>
      <c r="N44" s="2"/>
      <c r="O44" s="2"/>
      <c r="P44" s="2"/>
      <c r="Q44" s="2"/>
      <c r="R44" s="2"/>
      <c r="S44" s="2"/>
      <c r="T44" s="2"/>
      <c r="U44" s="2"/>
      <c r="V44" s="2"/>
      <c r="W44" s="2"/>
      <c r="X44" s="2"/>
      <c r="Y44" s="2"/>
      <c r="Z44" s="2"/>
    </row>
    <row r="45" ht="15.75" customHeight="1">
      <c r="A45" s="1" t="s">
        <v>57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107</v>
      </c>
      <c r="B46" s="1">
        <v>47.0</v>
      </c>
      <c r="C46" s="1">
        <v>47.0</v>
      </c>
      <c r="D46" s="1">
        <v>47.0</v>
      </c>
      <c r="E46" s="1">
        <v>47.0</v>
      </c>
      <c r="F46" s="1">
        <v>46.0</v>
      </c>
      <c r="G46" s="1">
        <v>46.0</v>
      </c>
      <c r="H46" s="1">
        <v>47.0</v>
      </c>
      <c r="I46" s="1">
        <v>46.0</v>
      </c>
      <c r="J46" s="1">
        <v>41.0</v>
      </c>
      <c r="K46" s="1">
        <v>37.0</v>
      </c>
      <c r="L46" s="2"/>
      <c r="M46" s="2"/>
      <c r="N46" s="2"/>
      <c r="O46" s="2"/>
      <c r="P46" s="2"/>
      <c r="Q46" s="2"/>
      <c r="R46" s="2"/>
      <c r="S46" s="2"/>
      <c r="T46" s="2"/>
      <c r="U46" s="2"/>
      <c r="V46" s="2"/>
      <c r="W46" s="2"/>
      <c r="X46" s="2"/>
      <c r="Y46" s="2"/>
      <c r="Z46" s="2"/>
    </row>
    <row r="47" ht="15.75" customHeight="1">
      <c r="A47" s="1" t="s">
        <v>108</v>
      </c>
      <c r="B47" s="1">
        <v>46.0</v>
      </c>
      <c r="C47" s="1">
        <v>47.0</v>
      </c>
      <c r="D47" s="1">
        <v>47.0</v>
      </c>
      <c r="E47" s="1">
        <v>47.0</v>
      </c>
      <c r="F47" s="1">
        <v>46.0</v>
      </c>
      <c r="G47" s="1">
        <v>46.0</v>
      </c>
      <c r="H47" s="1">
        <v>47.0</v>
      </c>
      <c r="I47" s="1">
        <v>47.0</v>
      </c>
      <c r="J47" s="1">
        <v>41.0</v>
      </c>
      <c r="K47" s="1">
        <v>37.0</v>
      </c>
      <c r="L47" s="2"/>
      <c r="M47" s="2"/>
      <c r="N47" s="2"/>
      <c r="O47" s="2"/>
      <c r="P47" s="2"/>
      <c r="Q47" s="2"/>
      <c r="R47" s="2"/>
      <c r="S47" s="2"/>
      <c r="T47" s="2"/>
      <c r="U47" s="2"/>
      <c r="V47" s="2"/>
      <c r="W47" s="2"/>
      <c r="X47" s="2"/>
      <c r="Y47" s="2"/>
      <c r="Z47" s="2"/>
    </row>
    <row r="48" ht="15.75" customHeight="1">
      <c r="A48" s="1" t="s">
        <v>109</v>
      </c>
      <c r="B48" s="1" t="s">
        <v>110</v>
      </c>
      <c r="C48" s="1" t="s">
        <v>111</v>
      </c>
      <c r="D48" s="1" t="s">
        <v>112</v>
      </c>
      <c r="E48" s="1" t="s">
        <v>113</v>
      </c>
      <c r="F48" s="1" t="s">
        <v>114</v>
      </c>
      <c r="G48" s="1" t="s">
        <v>115</v>
      </c>
      <c r="H48" s="1" t="s">
        <v>116</v>
      </c>
      <c r="I48" s="1" t="s">
        <v>117</v>
      </c>
      <c r="J48" s="1" t="s">
        <v>118</v>
      </c>
      <c r="K48" s="1" t="s">
        <v>119</v>
      </c>
      <c r="L48" s="2"/>
      <c r="M48" s="2"/>
      <c r="N48" s="2"/>
      <c r="O48" s="2"/>
      <c r="P48" s="2"/>
      <c r="Q48" s="2"/>
      <c r="R48" s="2"/>
      <c r="S48" s="2"/>
      <c r="T48" s="2"/>
      <c r="U48" s="2"/>
      <c r="V48" s="2"/>
      <c r="W48" s="2"/>
      <c r="X48" s="2"/>
      <c r="Y48" s="2"/>
      <c r="Z48" s="2"/>
    </row>
    <row r="49" ht="15.75" customHeight="1">
      <c r="A49" s="1" t="s">
        <v>120</v>
      </c>
      <c r="B49" s="1">
        <v>-50.0</v>
      </c>
      <c r="C49" s="1">
        <v>-31.0</v>
      </c>
      <c r="D49" s="1">
        <v>-138.0</v>
      </c>
      <c r="E49" s="1">
        <v>-5.0</v>
      </c>
      <c r="F49" s="1">
        <v>-126.0</v>
      </c>
      <c r="G49" s="1">
        <v>-257.0</v>
      </c>
      <c r="H49" s="1">
        <v>-610.0</v>
      </c>
      <c r="I49" s="1">
        <v>-245.0</v>
      </c>
      <c r="J49" s="1">
        <v>-369.0</v>
      </c>
      <c r="K49" s="1">
        <v>-754.0</v>
      </c>
      <c r="L49" s="2"/>
      <c r="M49" s="2"/>
      <c r="N49" s="2"/>
      <c r="O49" s="2"/>
      <c r="P49" s="2"/>
      <c r="Q49" s="2"/>
      <c r="R49" s="2"/>
      <c r="S49" s="2"/>
      <c r="T49" s="2"/>
      <c r="U49" s="2"/>
      <c r="V49" s="2"/>
      <c r="W49" s="2"/>
      <c r="X49" s="2"/>
      <c r="Y49" s="2"/>
      <c r="Z49" s="2"/>
    </row>
    <row r="50" ht="15.75" customHeight="1">
      <c r="A50" s="1" t="s">
        <v>121</v>
      </c>
      <c r="B50" s="1" t="s">
        <v>122</v>
      </c>
      <c r="C50" s="1" t="s">
        <v>123</v>
      </c>
      <c r="D50" s="1" t="s">
        <v>124</v>
      </c>
      <c r="E50" s="1" t="s">
        <v>125</v>
      </c>
      <c r="F50" s="1" t="s">
        <v>126</v>
      </c>
      <c r="G50" s="1" t="s">
        <v>127</v>
      </c>
      <c r="H50" s="1" t="s">
        <v>128</v>
      </c>
      <c r="I50" s="1" t="s">
        <v>129</v>
      </c>
      <c r="J50" s="1" t="s">
        <v>130</v>
      </c>
      <c r="K50" s="1" t="s">
        <v>131</v>
      </c>
      <c r="L50" s="2"/>
      <c r="M50" s="2"/>
      <c r="N50" s="2"/>
      <c r="O50" s="2"/>
      <c r="P50" s="2"/>
      <c r="Q50" s="2"/>
      <c r="R50" s="2"/>
      <c r="S50" s="2"/>
      <c r="T50" s="2"/>
      <c r="U50" s="2"/>
      <c r="V50" s="2"/>
      <c r="W50" s="2"/>
      <c r="X50" s="2"/>
      <c r="Y50" s="2"/>
      <c r="Z50" s="2"/>
    </row>
    <row r="51" ht="15.75" customHeight="1">
      <c r="A51" s="1" t="s">
        <v>132</v>
      </c>
      <c r="B51" s="1">
        <v>169.0</v>
      </c>
      <c r="C51" s="1">
        <v>219.0</v>
      </c>
      <c r="D51" s="1">
        <v>363.0</v>
      </c>
      <c r="E51" s="1">
        <v>320.0</v>
      </c>
      <c r="F51" s="1">
        <v>441.0</v>
      </c>
      <c r="G51" s="1">
        <v>722.0</v>
      </c>
      <c r="H51" s="1">
        <v>955.0</v>
      </c>
      <c r="I51" s="1">
        <v>867.0</v>
      </c>
      <c r="J51" s="1">
        <v>861.0</v>
      </c>
      <c r="K51" s="1">
        <v>1350.0</v>
      </c>
      <c r="L51" s="2"/>
      <c r="M51" s="2"/>
      <c r="N51" s="2"/>
      <c r="O51" s="2"/>
      <c r="P51" s="2"/>
      <c r="Q51" s="2"/>
      <c r="R51" s="2"/>
      <c r="S51" s="2"/>
      <c r="T51" s="2"/>
      <c r="U51" s="2"/>
      <c r="V51" s="2"/>
      <c r="W51" s="2"/>
      <c r="X51" s="2"/>
      <c r="Y51" s="2"/>
      <c r="Z51" s="2"/>
    </row>
    <row r="52" ht="15.75" customHeight="1">
      <c r="A52" s="1" t="s">
        <v>133</v>
      </c>
      <c r="B52" s="1">
        <v>156.0</v>
      </c>
      <c r="C52" s="1">
        <v>209.0</v>
      </c>
      <c r="D52" s="1">
        <v>352.0</v>
      </c>
      <c r="E52" s="1">
        <v>305.0</v>
      </c>
      <c r="F52" s="1">
        <v>427.0</v>
      </c>
      <c r="G52" s="1">
        <v>639.0</v>
      </c>
      <c r="H52" s="1">
        <v>926.0</v>
      </c>
      <c r="I52" s="1">
        <v>686.0</v>
      </c>
      <c r="J52" s="1">
        <v>796.0</v>
      </c>
      <c r="K52" s="1">
        <v>1320.0</v>
      </c>
      <c r="L52" s="2"/>
      <c r="M52" s="2"/>
      <c r="N52" s="2"/>
      <c r="O52" s="2"/>
      <c r="P52" s="2"/>
      <c r="Q52" s="2"/>
      <c r="R52" s="2"/>
      <c r="S52" s="2"/>
      <c r="T52" s="2"/>
      <c r="U52" s="2"/>
      <c r="V52" s="2"/>
      <c r="W52" s="2"/>
      <c r="X52" s="2"/>
      <c r="Y52" s="2"/>
      <c r="Z52" s="2"/>
    </row>
    <row r="53" ht="15.75" customHeight="1">
      <c r="A53" s="1" t="s">
        <v>134</v>
      </c>
      <c r="B53" s="1">
        <v>113.0</v>
      </c>
      <c r="C53" s="1">
        <v>128.0</v>
      </c>
      <c r="D53" s="1">
        <v>150.0</v>
      </c>
      <c r="E53" s="1">
        <v>164.0</v>
      </c>
      <c r="F53" s="1">
        <v>171.0</v>
      </c>
      <c r="G53" s="1">
        <v>334.0</v>
      </c>
      <c r="H53" s="1">
        <v>251.0</v>
      </c>
      <c r="I53" s="1">
        <v>256.0</v>
      </c>
      <c r="J53" s="1">
        <v>203.0</v>
      </c>
      <c r="K53" s="1">
        <v>129.0</v>
      </c>
      <c r="L53" s="2"/>
      <c r="M53" s="2"/>
      <c r="N53" s="2"/>
      <c r="O53" s="2"/>
      <c r="P53" s="2"/>
      <c r="Q53" s="2"/>
      <c r="R53" s="2"/>
      <c r="S53" s="2"/>
      <c r="T53" s="2"/>
      <c r="U53" s="2"/>
      <c r="V53" s="2"/>
      <c r="W53" s="2"/>
      <c r="X53" s="2"/>
      <c r="Y53" s="2"/>
      <c r="Z53" s="2"/>
    </row>
    <row r="54" ht="15.75" customHeight="1">
      <c r="A54" s="1" t="s">
        <v>135</v>
      </c>
      <c r="B54" s="1">
        <v>3.0</v>
      </c>
      <c r="C54" s="1">
        <v>3.0</v>
      </c>
      <c r="D54" s="1">
        <v>3.0</v>
      </c>
      <c r="E54" s="1">
        <v>3.0</v>
      </c>
      <c r="F54" s="1">
        <v>3.0</v>
      </c>
      <c r="G54" s="1">
        <v>3.0</v>
      </c>
      <c r="H54" s="1">
        <v>3.0</v>
      </c>
      <c r="I54" s="1">
        <v>3.0</v>
      </c>
      <c r="J54" s="1">
        <v>3.0</v>
      </c>
      <c r="K54" s="1">
        <v>3.0</v>
      </c>
      <c r="L54" s="2"/>
      <c r="M54" s="2"/>
      <c r="N54" s="2"/>
      <c r="O54" s="2"/>
      <c r="P54" s="2"/>
      <c r="Q54" s="2"/>
      <c r="R54" s="2"/>
      <c r="S54" s="2"/>
      <c r="T54" s="2"/>
      <c r="U54" s="2"/>
      <c r="V54" s="2"/>
      <c r="W54" s="2"/>
      <c r="X54" s="2"/>
      <c r="Y54" s="2"/>
      <c r="Z54" s="2"/>
    </row>
    <row r="55" ht="15.75" customHeight="1">
      <c r="A55" s="1" t="s">
        <v>136</v>
      </c>
      <c r="B55" s="1">
        <v>17.0</v>
      </c>
      <c r="C55" s="1">
        <v>23.0</v>
      </c>
      <c r="D55" s="1">
        <v>25.0</v>
      </c>
      <c r="E55" s="1">
        <v>29.0</v>
      </c>
      <c r="F55" s="1">
        <v>34.0</v>
      </c>
      <c r="G55" s="1">
        <v>37.0</v>
      </c>
      <c r="H55" s="1">
        <v>47.0</v>
      </c>
      <c r="I55" s="1">
        <v>43.0</v>
      </c>
      <c r="J55" s="1">
        <v>51.0</v>
      </c>
      <c r="K55" s="1">
        <v>71.0</v>
      </c>
      <c r="L55" s="2"/>
      <c r="M55" s="2"/>
      <c r="N55" s="2"/>
      <c r="O55" s="2"/>
      <c r="P55" s="2"/>
      <c r="Q55" s="2"/>
      <c r="R55" s="2"/>
      <c r="S55" s="2"/>
      <c r="T55" s="2"/>
      <c r="U55" s="2"/>
      <c r="V55" s="2"/>
      <c r="W55" s="2"/>
      <c r="X55" s="2"/>
      <c r="Y55" s="2"/>
      <c r="Z55" s="2"/>
    </row>
    <row r="56" ht="15.75" customHeight="1">
      <c r="A56" s="1" t="s">
        <v>137</v>
      </c>
      <c r="B56" s="1">
        <v>0.0</v>
      </c>
      <c r="C56" s="1">
        <v>0.0</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138</v>
      </c>
      <c r="B57" s="1">
        <v>4.0</v>
      </c>
      <c r="C57" s="1">
        <v>7.0</v>
      </c>
      <c r="D57" s="1">
        <v>11.0</v>
      </c>
      <c r="E57" s="1">
        <v>9.0</v>
      </c>
      <c r="F57" s="1">
        <v>10.0</v>
      </c>
      <c r="G57" s="1">
        <v>8.0</v>
      </c>
      <c r="H57" s="1">
        <v>7.0</v>
      </c>
      <c r="I57" s="1">
        <v>6.0</v>
      </c>
      <c r="J57" s="1">
        <v>31.0</v>
      </c>
      <c r="K57" s="1">
        <v>32.0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21</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139</v>
      </c>
      <c r="B2" s="1">
        <v>1040.0</v>
      </c>
      <c r="C2" s="1">
        <v>1460.0</v>
      </c>
      <c r="D2" s="1">
        <v>1900.0</v>
      </c>
      <c r="E2" s="1">
        <v>1990.0</v>
      </c>
      <c r="F2" s="1">
        <v>2140.0</v>
      </c>
      <c r="G2" s="1">
        <v>2220.0</v>
      </c>
      <c r="H2" s="1">
        <v>2390.0</v>
      </c>
      <c r="I2" s="1">
        <v>3980.0</v>
      </c>
      <c r="J2" s="1">
        <v>5240.0</v>
      </c>
      <c r="K2" s="1">
        <v>3790.0</v>
      </c>
      <c r="L2" s="2"/>
      <c r="M2" s="2"/>
      <c r="N2" s="2"/>
      <c r="O2" s="2"/>
      <c r="P2" s="2"/>
      <c r="Q2" s="2"/>
      <c r="R2" s="2"/>
      <c r="S2" s="2"/>
      <c r="T2" s="2"/>
      <c r="U2" s="2"/>
      <c r="V2" s="2"/>
      <c r="W2" s="2"/>
      <c r="X2" s="2"/>
      <c r="Y2" s="2"/>
      <c r="Z2" s="2"/>
    </row>
    <row r="3">
      <c r="A3" s="1" t="s">
        <v>140</v>
      </c>
      <c r="B3" s="1">
        <v>1040.0</v>
      </c>
      <c r="C3" s="1">
        <v>1460.0</v>
      </c>
      <c r="D3" s="1">
        <v>1900.0</v>
      </c>
      <c r="E3" s="1">
        <v>1990.0</v>
      </c>
      <c r="F3" s="1">
        <v>2140.0</v>
      </c>
      <c r="G3" s="1">
        <v>2220.0</v>
      </c>
      <c r="H3" s="1">
        <v>2390.0</v>
      </c>
      <c r="I3" s="1">
        <v>3980.0</v>
      </c>
      <c r="J3" s="1">
        <v>5240.0</v>
      </c>
      <c r="K3" s="1">
        <v>3790.0</v>
      </c>
      <c r="L3" s="2"/>
      <c r="M3" s="2"/>
      <c r="N3" s="2"/>
      <c r="O3" s="2"/>
      <c r="P3" s="2"/>
      <c r="Q3" s="2"/>
      <c r="R3" s="2"/>
      <c r="S3" s="2"/>
      <c r="T3" s="2"/>
      <c r="U3" s="2"/>
      <c r="V3" s="2"/>
      <c r="W3" s="2"/>
      <c r="X3" s="2"/>
      <c r="Y3" s="2"/>
      <c r="Z3" s="2"/>
    </row>
    <row r="4">
      <c r="A4" s="1" t="s">
        <v>141</v>
      </c>
      <c r="B4" s="1">
        <v>720.0</v>
      </c>
      <c r="C4" s="1">
        <v>994.0</v>
      </c>
      <c r="D4" s="1">
        <v>1280.0</v>
      </c>
      <c r="E4" s="1">
        <v>1340.0</v>
      </c>
      <c r="F4" s="1">
        <v>1440.0</v>
      </c>
      <c r="G4" s="1">
        <v>1480.0</v>
      </c>
      <c r="H4" s="1">
        <v>1600.0</v>
      </c>
      <c r="I4" s="1">
        <v>2670.0</v>
      </c>
      <c r="J4" s="1">
        <v>3530.0</v>
      </c>
      <c r="K4" s="1">
        <v>2540.0</v>
      </c>
      <c r="L4" s="2"/>
      <c r="M4" s="2"/>
      <c r="N4" s="2"/>
      <c r="O4" s="2"/>
      <c r="P4" s="2"/>
      <c r="Q4" s="2"/>
      <c r="R4" s="2"/>
      <c r="S4" s="2"/>
      <c r="T4" s="2"/>
      <c r="U4" s="2"/>
      <c r="V4" s="2"/>
      <c r="W4" s="2"/>
      <c r="X4" s="2"/>
      <c r="Y4" s="2"/>
      <c r="Z4" s="2"/>
    </row>
    <row r="5">
      <c r="A5" s="1" t="s">
        <v>142</v>
      </c>
      <c r="B5" s="1">
        <v>316.0</v>
      </c>
      <c r="C5" s="1">
        <v>469.0</v>
      </c>
      <c r="D5" s="1">
        <v>620.0</v>
      </c>
      <c r="E5" s="1">
        <v>644.0</v>
      </c>
      <c r="F5" s="1">
        <v>696.0</v>
      </c>
      <c r="G5" s="1">
        <v>743.0</v>
      </c>
      <c r="H5" s="1">
        <v>792.0</v>
      </c>
      <c r="I5" s="1">
        <v>1310.0</v>
      </c>
      <c r="J5" s="1">
        <v>1720.0</v>
      </c>
      <c r="K5" s="1">
        <v>1250.0</v>
      </c>
      <c r="L5" s="2"/>
      <c r="M5" s="2"/>
      <c r="N5" s="2"/>
      <c r="O5" s="2"/>
      <c r="P5" s="2"/>
      <c r="Q5" s="2"/>
      <c r="R5" s="2"/>
      <c r="S5" s="2"/>
      <c r="T5" s="2"/>
      <c r="U5" s="2"/>
      <c r="V5" s="2"/>
      <c r="W5" s="2"/>
      <c r="X5" s="2"/>
      <c r="Y5" s="2"/>
      <c r="Z5" s="2"/>
    </row>
    <row r="6">
      <c r="A6" s="1" t="s">
        <v>143</v>
      </c>
      <c r="B6" s="1">
        <v>232.0</v>
      </c>
      <c r="C6" s="1">
        <v>314.0</v>
      </c>
      <c r="D6" s="1">
        <v>398.0</v>
      </c>
      <c r="E6" s="1">
        <v>400.0</v>
      </c>
      <c r="F6" s="1">
        <v>443.0</v>
      </c>
      <c r="G6" s="1">
        <v>501.0</v>
      </c>
      <c r="H6" s="1">
        <v>533.0</v>
      </c>
      <c r="I6" s="1">
        <v>730.0</v>
      </c>
      <c r="J6" s="1">
        <v>940.0</v>
      </c>
      <c r="K6" s="1">
        <v>754.0</v>
      </c>
      <c r="L6" s="2"/>
      <c r="M6" s="2"/>
      <c r="N6" s="2"/>
      <c r="O6" s="2"/>
      <c r="P6" s="2"/>
      <c r="Q6" s="2"/>
      <c r="R6" s="2"/>
      <c r="S6" s="2"/>
      <c r="T6" s="2"/>
      <c r="U6" s="2"/>
      <c r="V6" s="2"/>
      <c r="W6" s="2"/>
      <c r="X6" s="2"/>
      <c r="Y6" s="2"/>
      <c r="Z6" s="2"/>
    </row>
    <row r="7">
      <c r="A7" s="1" t="s">
        <v>144</v>
      </c>
      <c r="B7" s="1">
        <v>15.0</v>
      </c>
      <c r="C7" s="1">
        <v>20.0</v>
      </c>
      <c r="D7" s="1">
        <v>29.0</v>
      </c>
      <c r="E7" s="1">
        <v>32.0</v>
      </c>
      <c r="F7" s="1">
        <v>41.0</v>
      </c>
      <c r="G7" s="1">
        <v>58.0</v>
      </c>
      <c r="H7" s="1">
        <v>92.0</v>
      </c>
      <c r="I7" s="1">
        <v>101.0</v>
      </c>
      <c r="J7" s="1">
        <v>133.0</v>
      </c>
      <c r="K7" s="1">
        <v>155.0</v>
      </c>
      <c r="L7" s="2"/>
      <c r="M7" s="2"/>
      <c r="N7" s="2"/>
      <c r="O7" s="2"/>
      <c r="P7" s="2"/>
      <c r="Q7" s="2"/>
      <c r="R7" s="2"/>
      <c r="S7" s="2"/>
      <c r="T7" s="2"/>
      <c r="U7" s="2"/>
      <c r="V7" s="2"/>
      <c r="W7" s="2"/>
      <c r="X7" s="2"/>
      <c r="Y7" s="2"/>
      <c r="Z7" s="2"/>
    </row>
    <row r="8">
      <c r="A8" s="1" t="s">
        <v>145</v>
      </c>
      <c r="B8" s="1">
        <v>248.0</v>
      </c>
      <c r="C8" s="1">
        <v>335.0</v>
      </c>
      <c r="D8" s="1">
        <v>428.0</v>
      </c>
      <c r="E8" s="1">
        <v>432.0</v>
      </c>
      <c r="F8" s="1">
        <v>484.0</v>
      </c>
      <c r="G8" s="1">
        <v>559.0</v>
      </c>
      <c r="H8" s="1">
        <v>626.0</v>
      </c>
      <c r="I8" s="1">
        <v>832.0</v>
      </c>
      <c r="J8" s="1">
        <v>1070.0</v>
      </c>
      <c r="K8" s="1">
        <v>909.0</v>
      </c>
      <c r="L8" s="2"/>
      <c r="M8" s="2"/>
      <c r="N8" s="2"/>
      <c r="O8" s="2"/>
      <c r="P8" s="2"/>
      <c r="Q8" s="2"/>
      <c r="R8" s="2"/>
      <c r="S8" s="2"/>
      <c r="T8" s="2"/>
      <c r="U8" s="2"/>
      <c r="V8" s="2"/>
      <c r="W8" s="2"/>
      <c r="X8" s="2"/>
      <c r="Y8" s="2"/>
      <c r="Z8" s="2"/>
    </row>
    <row r="9">
      <c r="A9" s="1" t="s">
        <v>146</v>
      </c>
      <c r="B9" s="1">
        <v>67.0</v>
      </c>
      <c r="C9" s="1">
        <v>134.0</v>
      </c>
      <c r="D9" s="1">
        <v>192.0</v>
      </c>
      <c r="E9" s="1">
        <v>212.0</v>
      </c>
      <c r="F9" s="1">
        <v>213.0</v>
      </c>
      <c r="G9" s="1">
        <v>184.0</v>
      </c>
      <c r="H9" s="1">
        <v>166.0</v>
      </c>
      <c r="I9" s="1">
        <v>478.0</v>
      </c>
      <c r="J9" s="1">
        <v>644.0</v>
      </c>
      <c r="K9" s="1">
        <v>341.0</v>
      </c>
      <c r="L9" s="2"/>
      <c r="M9" s="2"/>
      <c r="N9" s="2"/>
      <c r="O9" s="2"/>
      <c r="P9" s="2"/>
      <c r="Q9" s="2"/>
      <c r="R9" s="2"/>
      <c r="S9" s="2"/>
      <c r="T9" s="2"/>
      <c r="U9" s="2"/>
      <c r="V9" s="2"/>
      <c r="W9" s="2"/>
      <c r="X9" s="2"/>
      <c r="Y9" s="2"/>
      <c r="Z9" s="2"/>
    </row>
    <row r="10">
      <c r="A10" s="1" t="s">
        <v>147</v>
      </c>
      <c r="B10" s="1">
        <v>-6.0</v>
      </c>
      <c r="C10" s="1">
        <v>-6.0</v>
      </c>
      <c r="D10" s="1">
        <v>-15.0</v>
      </c>
      <c r="E10" s="1">
        <v>-19.0</v>
      </c>
      <c r="F10" s="1">
        <v>-23.0</v>
      </c>
      <c r="G10" s="1">
        <v>-28.0</v>
      </c>
      <c r="H10" s="1">
        <v>-49.0</v>
      </c>
      <c r="I10" s="1">
        <v>-40.0</v>
      </c>
      <c r="J10" s="1">
        <v>0.0</v>
      </c>
      <c r="K10" s="1">
        <v>-54.0</v>
      </c>
      <c r="L10" s="2"/>
      <c r="M10" s="2"/>
      <c r="N10" s="2"/>
      <c r="O10" s="2"/>
      <c r="P10" s="2"/>
      <c r="Q10" s="2"/>
      <c r="R10" s="2"/>
      <c r="S10" s="2"/>
      <c r="T10" s="2"/>
      <c r="U10" s="2"/>
      <c r="V10" s="2"/>
      <c r="W10" s="2"/>
      <c r="X10" s="2"/>
      <c r="Y10" s="2"/>
      <c r="Z10" s="2"/>
    </row>
    <row r="11">
      <c r="A11" s="1" t="s">
        <v>148</v>
      </c>
      <c r="B11" s="1">
        <v>-6.0</v>
      </c>
      <c r="C11" s="1">
        <v>-6.0</v>
      </c>
      <c r="D11" s="1">
        <v>-15.0</v>
      </c>
      <c r="E11" s="1">
        <v>-19.0</v>
      </c>
      <c r="F11" s="1">
        <v>-23.0</v>
      </c>
      <c r="G11" s="1">
        <v>-28.0</v>
      </c>
      <c r="H11" s="1">
        <v>-49.0</v>
      </c>
      <c r="I11" s="1">
        <v>-40.0</v>
      </c>
      <c r="J11" s="1">
        <v>0.0</v>
      </c>
      <c r="K11" s="1">
        <v>-54.0</v>
      </c>
      <c r="L11" s="2"/>
      <c r="M11" s="2"/>
      <c r="N11" s="2"/>
      <c r="O11" s="2"/>
      <c r="P11" s="2"/>
      <c r="Q11" s="2"/>
      <c r="R11" s="2"/>
      <c r="S11" s="2"/>
      <c r="T11" s="2"/>
      <c r="U11" s="2"/>
      <c r="V11" s="2"/>
      <c r="W11" s="2"/>
      <c r="X11" s="2"/>
      <c r="Y11" s="2"/>
      <c r="Z11" s="2"/>
    </row>
    <row r="12">
      <c r="A12" s="1" t="s">
        <v>149</v>
      </c>
      <c r="B12" s="1">
        <v>0.0</v>
      </c>
      <c r="C12" s="1">
        <v>-90.0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150</v>
      </c>
      <c r="B13" s="1">
        <v>0.0</v>
      </c>
      <c r="C13" s="1">
        <v>0.0</v>
      </c>
      <c r="D13" s="1">
        <v>0.0</v>
      </c>
      <c r="E13" s="1">
        <v>0.0</v>
      </c>
      <c r="F13" s="1">
        <v>0.0</v>
      </c>
      <c r="G13" s="1">
        <v>0.0</v>
      </c>
      <c r="H13" s="1">
        <v>0.0</v>
      </c>
      <c r="I13" s="1">
        <v>0.0</v>
      </c>
      <c r="J13" s="1">
        <v>-37.0</v>
      </c>
      <c r="K13" s="1">
        <v>0.0</v>
      </c>
      <c r="L13" s="2"/>
      <c r="M13" s="2"/>
      <c r="N13" s="2"/>
      <c r="O13" s="2"/>
      <c r="P13" s="2"/>
      <c r="Q13" s="2"/>
      <c r="R13" s="2"/>
      <c r="S13" s="2"/>
      <c r="T13" s="2"/>
      <c r="U13" s="2"/>
      <c r="V13" s="2"/>
      <c r="W13" s="2"/>
      <c r="X13" s="2"/>
      <c r="Y13" s="2"/>
      <c r="Z13" s="2"/>
    </row>
    <row r="14">
      <c r="A14" s="1" t="s">
        <v>151</v>
      </c>
      <c r="B14" s="1">
        <v>61.0</v>
      </c>
      <c r="C14" s="1">
        <v>126.0</v>
      </c>
      <c r="D14" s="1">
        <v>176.0</v>
      </c>
      <c r="E14" s="1">
        <v>193.0</v>
      </c>
      <c r="F14" s="1">
        <v>189.0</v>
      </c>
      <c r="G14" s="1">
        <v>156.0</v>
      </c>
      <c r="H14" s="1">
        <v>116.0</v>
      </c>
      <c r="I14" s="1">
        <v>437.0</v>
      </c>
      <c r="J14" s="1">
        <v>607.0</v>
      </c>
      <c r="K14" s="1">
        <v>287.0</v>
      </c>
      <c r="L14" s="2"/>
      <c r="M14" s="2"/>
      <c r="N14" s="2"/>
      <c r="O14" s="2"/>
      <c r="P14" s="2"/>
      <c r="Q14" s="2"/>
      <c r="R14" s="2"/>
      <c r="S14" s="2"/>
      <c r="T14" s="2"/>
      <c r="U14" s="2"/>
      <c r="V14" s="2"/>
      <c r="W14" s="2"/>
      <c r="X14" s="2"/>
      <c r="Y14" s="2"/>
      <c r="Z14" s="2"/>
    </row>
    <row r="15">
      <c r="A15" s="1" t="s">
        <v>152</v>
      </c>
      <c r="B15" s="1">
        <v>0.0</v>
      </c>
      <c r="C15" s="1">
        <v>-5.0</v>
      </c>
      <c r="D15" s="1">
        <v>0.0</v>
      </c>
      <c r="E15" s="1">
        <v>0.0</v>
      </c>
      <c r="F15" s="1">
        <v>0.0</v>
      </c>
      <c r="G15" s="1">
        <v>0.0</v>
      </c>
      <c r="H15" s="1">
        <v>-11.0</v>
      </c>
      <c r="I15" s="1">
        <v>0.0</v>
      </c>
      <c r="J15" s="1">
        <v>0.0</v>
      </c>
      <c r="K15" s="1">
        <v>0.0</v>
      </c>
      <c r="L15" s="2"/>
      <c r="M15" s="2"/>
      <c r="N15" s="2"/>
      <c r="O15" s="2"/>
      <c r="P15" s="2"/>
      <c r="Q15" s="2"/>
      <c r="R15" s="2"/>
      <c r="S15" s="2"/>
      <c r="T15" s="2"/>
      <c r="U15" s="2"/>
      <c r="V15" s="2"/>
      <c r="W15" s="2"/>
      <c r="X15" s="2"/>
      <c r="Y15" s="2"/>
      <c r="Z15" s="2"/>
    </row>
    <row r="16">
      <c r="A16" s="1" t="s">
        <v>153</v>
      </c>
      <c r="B16" s="1">
        <v>0.0</v>
      </c>
      <c r="C16" s="1">
        <v>0.0</v>
      </c>
      <c r="D16" s="1">
        <v>0.0</v>
      </c>
      <c r="E16" s="1">
        <v>0.0</v>
      </c>
      <c r="F16" s="1">
        <v>7.0</v>
      </c>
      <c r="G16" s="1">
        <v>0.0</v>
      </c>
      <c r="H16" s="1">
        <v>0.0</v>
      </c>
      <c r="I16" s="1">
        <v>6.0</v>
      </c>
      <c r="J16" s="1">
        <v>-3.0</v>
      </c>
      <c r="K16" s="1">
        <v>0.0</v>
      </c>
      <c r="L16" s="2"/>
      <c r="M16" s="2"/>
      <c r="N16" s="2"/>
      <c r="O16" s="2"/>
      <c r="P16" s="2"/>
      <c r="Q16" s="2"/>
      <c r="R16" s="2"/>
      <c r="S16" s="2"/>
      <c r="T16" s="2"/>
      <c r="U16" s="2"/>
      <c r="V16" s="2"/>
      <c r="W16" s="2"/>
      <c r="X16" s="2"/>
      <c r="Y16" s="2"/>
      <c r="Z16" s="2"/>
    </row>
    <row r="17">
      <c r="A17" s="1" t="s">
        <v>154</v>
      </c>
      <c r="B17" s="1">
        <v>0.0</v>
      </c>
      <c r="C17" s="1">
        <v>0.0</v>
      </c>
      <c r="D17" s="1">
        <v>0.0</v>
      </c>
      <c r="E17" s="1">
        <v>0.0</v>
      </c>
      <c r="F17" s="1">
        <v>-12.0</v>
      </c>
      <c r="G17" s="1">
        <v>0.0</v>
      </c>
      <c r="H17" s="1">
        <v>0.0</v>
      </c>
      <c r="I17" s="1">
        <v>0.0</v>
      </c>
      <c r="J17" s="1">
        <v>0.0</v>
      </c>
      <c r="K17" s="1">
        <v>0.0</v>
      </c>
      <c r="L17" s="2"/>
      <c r="M17" s="2"/>
      <c r="N17" s="2"/>
      <c r="O17" s="2"/>
      <c r="P17" s="2"/>
      <c r="Q17" s="2"/>
      <c r="R17" s="2"/>
      <c r="S17" s="2"/>
      <c r="T17" s="2"/>
      <c r="U17" s="2"/>
      <c r="V17" s="2"/>
      <c r="W17" s="2"/>
      <c r="X17" s="2"/>
      <c r="Y17" s="2"/>
      <c r="Z17" s="2"/>
    </row>
    <row r="18">
      <c r="A18" s="1" t="s">
        <v>155</v>
      </c>
      <c r="B18" s="1">
        <v>-3.0</v>
      </c>
      <c r="C18" s="1">
        <v>0.0</v>
      </c>
      <c r="D18" s="1">
        <v>0.0</v>
      </c>
      <c r="E18" s="1">
        <v>0.0</v>
      </c>
      <c r="F18" s="1">
        <v>2.0</v>
      </c>
      <c r="G18" s="1">
        <v>-7.0</v>
      </c>
      <c r="H18" s="1">
        <v>-13.0</v>
      </c>
      <c r="I18" s="1">
        <v>0.0</v>
      </c>
      <c r="J18" s="1">
        <v>2.0</v>
      </c>
      <c r="K18" s="1">
        <v>-2.0</v>
      </c>
      <c r="L18" s="2"/>
      <c r="M18" s="2"/>
      <c r="N18" s="2"/>
      <c r="O18" s="2"/>
      <c r="P18" s="2"/>
      <c r="Q18" s="2"/>
      <c r="R18" s="2"/>
      <c r="S18" s="2"/>
      <c r="T18" s="2"/>
      <c r="U18" s="2"/>
      <c r="V18" s="2"/>
      <c r="W18" s="2"/>
      <c r="X18" s="2"/>
      <c r="Y18" s="2"/>
      <c r="Z18" s="2"/>
    </row>
    <row r="19">
      <c r="A19" s="1" t="s">
        <v>156</v>
      </c>
      <c r="B19" s="1">
        <v>58.0</v>
      </c>
      <c r="C19" s="1">
        <v>121.0</v>
      </c>
      <c r="D19" s="1">
        <v>176.0</v>
      </c>
      <c r="E19" s="1">
        <v>193.0</v>
      </c>
      <c r="F19" s="1">
        <v>187.0</v>
      </c>
      <c r="G19" s="1">
        <v>148.0</v>
      </c>
      <c r="H19" s="1">
        <v>91.0</v>
      </c>
      <c r="I19" s="1">
        <v>444.0</v>
      </c>
      <c r="J19" s="1">
        <v>607.0</v>
      </c>
      <c r="K19" s="1">
        <v>284.0</v>
      </c>
      <c r="L19" s="2"/>
      <c r="M19" s="2"/>
      <c r="N19" s="2"/>
      <c r="O19" s="2"/>
      <c r="P19" s="2"/>
      <c r="Q19" s="2"/>
      <c r="R19" s="2"/>
      <c r="S19" s="2"/>
      <c r="T19" s="2"/>
      <c r="U19" s="2"/>
      <c r="V19" s="2"/>
      <c r="W19" s="2"/>
      <c r="X19" s="2"/>
      <c r="Y19" s="2"/>
      <c r="Z19" s="2"/>
    </row>
    <row r="20">
      <c r="A20" s="1" t="s">
        <v>157</v>
      </c>
      <c r="B20" s="1">
        <v>25.0</v>
      </c>
      <c r="C20" s="1">
        <v>39.0</v>
      </c>
      <c r="D20" s="1">
        <v>70.0</v>
      </c>
      <c r="E20" s="1">
        <v>60.0</v>
      </c>
      <c r="F20" s="1">
        <v>44.0</v>
      </c>
      <c r="G20" s="1">
        <v>34.0</v>
      </c>
      <c r="H20" s="1">
        <v>20.0</v>
      </c>
      <c r="I20" s="1">
        <v>117.0</v>
      </c>
      <c r="J20" s="1">
        <v>163.0</v>
      </c>
      <c r="K20" s="1">
        <v>73.0</v>
      </c>
      <c r="L20" s="2"/>
      <c r="M20" s="2"/>
      <c r="N20" s="2"/>
      <c r="O20" s="2"/>
      <c r="P20" s="2"/>
      <c r="Q20" s="2"/>
      <c r="R20" s="2"/>
      <c r="S20" s="2"/>
      <c r="T20" s="2"/>
      <c r="U20" s="2"/>
      <c r="V20" s="2"/>
      <c r="W20" s="2"/>
      <c r="X20" s="2"/>
      <c r="Y20" s="2"/>
      <c r="Z20" s="2"/>
    </row>
    <row r="21" ht="15.75" customHeight="1">
      <c r="A21" s="1" t="s">
        <v>158</v>
      </c>
      <c r="B21" s="1">
        <v>33.0</v>
      </c>
      <c r="C21" s="1">
        <v>81.0</v>
      </c>
      <c r="D21" s="1">
        <v>106.0</v>
      </c>
      <c r="E21" s="1">
        <v>133.0</v>
      </c>
      <c r="F21" s="1">
        <v>142.0</v>
      </c>
      <c r="G21" s="1">
        <v>114.0</v>
      </c>
      <c r="H21" s="1">
        <v>70.0</v>
      </c>
      <c r="I21" s="1">
        <v>327.0</v>
      </c>
      <c r="J21" s="1">
        <v>444.0</v>
      </c>
      <c r="K21" s="1">
        <v>211.0</v>
      </c>
      <c r="L21" s="2"/>
      <c r="M21" s="2"/>
      <c r="N21" s="2"/>
      <c r="O21" s="2"/>
      <c r="P21" s="2"/>
      <c r="Q21" s="2"/>
      <c r="R21" s="2"/>
      <c r="S21" s="2"/>
      <c r="T21" s="2"/>
      <c r="U21" s="2"/>
      <c r="V21" s="2"/>
      <c r="W21" s="2"/>
      <c r="X21" s="2"/>
      <c r="Y21" s="2"/>
      <c r="Z21" s="2"/>
    </row>
    <row r="22" ht="15.75" customHeight="1">
      <c r="A22" s="1" t="s">
        <v>159</v>
      </c>
      <c r="B22" s="1">
        <v>33.0</v>
      </c>
      <c r="C22" s="1">
        <v>81.0</v>
      </c>
      <c r="D22" s="1">
        <v>106.0</v>
      </c>
      <c r="E22" s="1">
        <v>133.0</v>
      </c>
      <c r="F22" s="1">
        <v>142.0</v>
      </c>
      <c r="G22" s="1">
        <v>114.0</v>
      </c>
      <c r="H22" s="1">
        <v>70.0</v>
      </c>
      <c r="I22" s="1">
        <v>327.0</v>
      </c>
      <c r="J22" s="1">
        <v>444.0</v>
      </c>
      <c r="K22" s="1">
        <v>211.0</v>
      </c>
      <c r="L22" s="2"/>
      <c r="M22" s="2"/>
      <c r="N22" s="2"/>
      <c r="O22" s="2"/>
      <c r="P22" s="2"/>
      <c r="Q22" s="2"/>
      <c r="R22" s="2"/>
      <c r="S22" s="2"/>
      <c r="T22" s="2"/>
      <c r="U22" s="2"/>
      <c r="V22" s="2"/>
      <c r="W22" s="2"/>
      <c r="X22" s="2"/>
      <c r="Y22" s="2"/>
      <c r="Z22" s="2"/>
    </row>
    <row r="23" ht="15.75" customHeight="1">
      <c r="A23" s="1" t="s">
        <v>160</v>
      </c>
      <c r="B23" s="1">
        <v>33.0</v>
      </c>
      <c r="C23" s="1">
        <v>81.0</v>
      </c>
      <c r="D23" s="1">
        <v>106.0</v>
      </c>
      <c r="E23" s="1">
        <v>133.0</v>
      </c>
      <c r="F23" s="1">
        <v>142.0</v>
      </c>
      <c r="G23" s="1">
        <v>114.0</v>
      </c>
      <c r="H23" s="1">
        <v>70.0</v>
      </c>
      <c r="I23" s="1">
        <v>327.0</v>
      </c>
      <c r="J23" s="1">
        <v>444.0</v>
      </c>
      <c r="K23" s="1">
        <v>211.0</v>
      </c>
      <c r="L23" s="2"/>
      <c r="M23" s="2"/>
      <c r="N23" s="2"/>
      <c r="O23" s="2"/>
      <c r="P23" s="2"/>
      <c r="Q23" s="2"/>
      <c r="R23" s="2"/>
      <c r="S23" s="2"/>
      <c r="T23" s="2"/>
      <c r="U23" s="2"/>
      <c r="V23" s="2"/>
      <c r="W23" s="2"/>
      <c r="X23" s="2"/>
      <c r="Y23" s="2"/>
      <c r="Z23" s="2"/>
    </row>
    <row r="24" ht="15.75" customHeight="1">
      <c r="A24" s="1" t="s">
        <v>161</v>
      </c>
      <c r="B24" s="1">
        <v>33.0</v>
      </c>
      <c r="C24" s="1">
        <v>81.0</v>
      </c>
      <c r="D24" s="1">
        <v>106.0</v>
      </c>
      <c r="E24" s="1">
        <v>133.0</v>
      </c>
      <c r="F24" s="1">
        <v>142.0</v>
      </c>
      <c r="G24" s="1">
        <v>114.0</v>
      </c>
      <c r="H24" s="1">
        <v>70.0</v>
      </c>
      <c r="I24" s="1">
        <v>327.0</v>
      </c>
      <c r="J24" s="1">
        <v>444.0</v>
      </c>
      <c r="K24" s="1">
        <v>211.0</v>
      </c>
      <c r="L24" s="2"/>
      <c r="M24" s="2"/>
      <c r="N24" s="2"/>
      <c r="O24" s="2"/>
      <c r="P24" s="2"/>
      <c r="Q24" s="2"/>
      <c r="R24" s="2"/>
      <c r="S24" s="2"/>
      <c r="T24" s="2"/>
      <c r="U24" s="2"/>
      <c r="V24" s="2"/>
      <c r="W24" s="2"/>
      <c r="X24" s="2"/>
      <c r="Y24" s="2"/>
      <c r="Z24" s="2"/>
    </row>
    <row r="25" ht="15.75" customHeight="1">
      <c r="A25" s="1" t="s">
        <v>162</v>
      </c>
      <c r="B25" s="1">
        <v>33.0</v>
      </c>
      <c r="C25" s="1">
        <v>81.0</v>
      </c>
      <c r="D25" s="1">
        <v>106.0</v>
      </c>
      <c r="E25" s="1">
        <v>133.0</v>
      </c>
      <c r="F25" s="1">
        <v>142.0</v>
      </c>
      <c r="G25" s="1">
        <v>114.0</v>
      </c>
      <c r="H25" s="1">
        <v>70.0</v>
      </c>
      <c r="I25" s="1">
        <v>327.0</v>
      </c>
      <c r="J25" s="1">
        <v>444.0</v>
      </c>
      <c r="K25" s="1">
        <v>211.0</v>
      </c>
      <c r="L25" s="2"/>
      <c r="M25" s="2"/>
      <c r="N25" s="2"/>
      <c r="O25" s="2"/>
      <c r="P25" s="2"/>
      <c r="Q25" s="2"/>
      <c r="R25" s="2"/>
      <c r="S25" s="2"/>
      <c r="T25" s="2"/>
      <c r="U25" s="2"/>
      <c r="V25" s="2"/>
      <c r="W25" s="2"/>
      <c r="X25" s="2"/>
      <c r="Y25" s="2"/>
      <c r="Z25" s="2"/>
    </row>
    <row r="26" ht="15.75" customHeight="1">
      <c r="A26" s="1" t="s">
        <v>163</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164</v>
      </c>
      <c r="B27" s="1" t="s">
        <v>165</v>
      </c>
      <c r="C27" s="1" t="s">
        <v>166</v>
      </c>
      <c r="D27" s="1" t="s">
        <v>167</v>
      </c>
      <c r="E27" s="1" t="s">
        <v>168</v>
      </c>
      <c r="F27" s="1" t="s">
        <v>169</v>
      </c>
      <c r="G27" s="1" t="s">
        <v>170</v>
      </c>
      <c r="H27" s="1" t="s">
        <v>171</v>
      </c>
      <c r="I27" s="1" t="s">
        <v>172</v>
      </c>
      <c r="J27" s="1" t="s">
        <v>173</v>
      </c>
      <c r="K27" s="1" t="s">
        <v>174</v>
      </c>
      <c r="L27" s="2"/>
      <c r="M27" s="2"/>
      <c r="N27" s="2"/>
      <c r="O27" s="2"/>
      <c r="P27" s="2"/>
      <c r="Q27" s="2"/>
      <c r="R27" s="2"/>
      <c r="S27" s="2"/>
      <c r="T27" s="2"/>
      <c r="U27" s="2"/>
      <c r="V27" s="2"/>
      <c r="W27" s="2"/>
      <c r="X27" s="2"/>
      <c r="Y27" s="2"/>
      <c r="Z27" s="2"/>
    </row>
    <row r="28" ht="15.75" customHeight="1">
      <c r="A28" s="1" t="s">
        <v>175</v>
      </c>
      <c r="B28" s="1" t="s">
        <v>165</v>
      </c>
      <c r="C28" s="1" t="s">
        <v>166</v>
      </c>
      <c r="D28" s="1" t="s">
        <v>167</v>
      </c>
      <c r="E28" s="1" t="s">
        <v>168</v>
      </c>
      <c r="F28" s="1" t="s">
        <v>169</v>
      </c>
      <c r="G28" s="1" t="s">
        <v>170</v>
      </c>
      <c r="H28" s="1" t="s">
        <v>171</v>
      </c>
      <c r="I28" s="1" t="s">
        <v>172</v>
      </c>
      <c r="J28" s="1" t="s">
        <v>173</v>
      </c>
      <c r="K28" s="1" t="s">
        <v>174</v>
      </c>
      <c r="L28" s="2"/>
      <c r="M28" s="2"/>
      <c r="N28" s="2"/>
      <c r="O28" s="2"/>
      <c r="P28" s="2"/>
      <c r="Q28" s="2"/>
      <c r="R28" s="2"/>
      <c r="S28" s="2"/>
      <c r="T28" s="2"/>
      <c r="U28" s="2"/>
      <c r="V28" s="2"/>
      <c r="W28" s="2"/>
      <c r="X28" s="2"/>
      <c r="Y28" s="2"/>
      <c r="Z28" s="2"/>
    </row>
    <row r="29" ht="15.75" customHeight="1">
      <c r="A29" s="1" t="s">
        <v>176</v>
      </c>
      <c r="B29" s="1">
        <v>46.0</v>
      </c>
      <c r="C29" s="1">
        <v>47.0</v>
      </c>
      <c r="D29" s="1">
        <v>47.0</v>
      </c>
      <c r="E29" s="1">
        <v>47.0</v>
      </c>
      <c r="F29" s="1">
        <v>47.0</v>
      </c>
      <c r="G29" s="1">
        <v>46.0</v>
      </c>
      <c r="H29" s="1">
        <v>47.0</v>
      </c>
      <c r="I29" s="1">
        <v>47.0</v>
      </c>
      <c r="J29" s="1">
        <v>44.0</v>
      </c>
      <c r="K29" s="1">
        <v>39.0</v>
      </c>
      <c r="L29" s="2"/>
      <c r="M29" s="2"/>
      <c r="N29" s="2"/>
      <c r="O29" s="2"/>
      <c r="P29" s="2"/>
      <c r="Q29" s="2"/>
      <c r="R29" s="2"/>
      <c r="S29" s="2"/>
      <c r="T29" s="2"/>
      <c r="U29" s="2"/>
      <c r="V29" s="2"/>
      <c r="W29" s="2"/>
      <c r="X29" s="2"/>
      <c r="Y29" s="2"/>
      <c r="Z29" s="2"/>
    </row>
    <row r="30" ht="15.75" customHeight="1">
      <c r="A30" s="1" t="s">
        <v>177</v>
      </c>
      <c r="B30" s="1" t="s">
        <v>178</v>
      </c>
      <c r="C30" s="1" t="s">
        <v>179</v>
      </c>
      <c r="D30" s="1" t="s">
        <v>180</v>
      </c>
      <c r="E30" s="1" t="s">
        <v>181</v>
      </c>
      <c r="F30" s="1" t="s">
        <v>182</v>
      </c>
      <c r="G30" s="1" t="s">
        <v>183</v>
      </c>
      <c r="H30" s="1" t="s">
        <v>184</v>
      </c>
      <c r="I30" s="1" t="s">
        <v>185</v>
      </c>
      <c r="J30" s="1" t="s">
        <v>186</v>
      </c>
      <c r="K30" s="1" t="s">
        <v>187</v>
      </c>
      <c r="L30" s="2"/>
      <c r="M30" s="2"/>
      <c r="N30" s="2"/>
      <c r="O30" s="2"/>
      <c r="P30" s="2"/>
      <c r="Q30" s="2"/>
      <c r="R30" s="2"/>
      <c r="S30" s="2"/>
      <c r="T30" s="2"/>
      <c r="U30" s="2"/>
      <c r="V30" s="2"/>
      <c r="W30" s="2"/>
      <c r="X30" s="2"/>
      <c r="Y30" s="2"/>
      <c r="Z30" s="2"/>
    </row>
    <row r="31" ht="15.75" customHeight="1">
      <c r="A31" s="1" t="s">
        <v>188</v>
      </c>
      <c r="B31" s="1" t="s">
        <v>178</v>
      </c>
      <c r="C31" s="1" t="s">
        <v>179</v>
      </c>
      <c r="D31" s="1" t="s">
        <v>180</v>
      </c>
      <c r="E31" s="1" t="s">
        <v>181</v>
      </c>
      <c r="F31" s="1" t="s">
        <v>182</v>
      </c>
      <c r="G31" s="1" t="s">
        <v>183</v>
      </c>
      <c r="H31" s="1" t="s">
        <v>184</v>
      </c>
      <c r="I31" s="1" t="s">
        <v>185</v>
      </c>
      <c r="J31" s="1" t="s">
        <v>186</v>
      </c>
      <c r="K31" s="1" t="s">
        <v>187</v>
      </c>
      <c r="L31" s="2"/>
      <c r="M31" s="2"/>
      <c r="N31" s="2"/>
      <c r="O31" s="2"/>
      <c r="P31" s="2"/>
      <c r="Q31" s="2"/>
      <c r="R31" s="2"/>
      <c r="S31" s="2"/>
      <c r="T31" s="2"/>
      <c r="U31" s="2"/>
      <c r="V31" s="2"/>
      <c r="W31" s="2"/>
      <c r="X31" s="2"/>
      <c r="Y31" s="2"/>
      <c r="Z31" s="2"/>
    </row>
    <row r="32" ht="15.75" customHeight="1">
      <c r="A32" s="1" t="s">
        <v>189</v>
      </c>
      <c r="B32" s="1">
        <v>48.0</v>
      </c>
      <c r="C32" s="1">
        <v>48.0</v>
      </c>
      <c r="D32" s="1">
        <v>49.0</v>
      </c>
      <c r="E32" s="1">
        <v>49.0</v>
      </c>
      <c r="F32" s="1">
        <v>48.0</v>
      </c>
      <c r="G32" s="1">
        <v>47.0</v>
      </c>
      <c r="H32" s="1">
        <v>47.0</v>
      </c>
      <c r="I32" s="1">
        <v>48.0</v>
      </c>
      <c r="J32" s="1">
        <v>44.0</v>
      </c>
      <c r="K32" s="1">
        <v>39.0</v>
      </c>
      <c r="L32" s="2"/>
      <c r="M32" s="2"/>
      <c r="N32" s="2"/>
      <c r="O32" s="2"/>
      <c r="P32" s="2"/>
      <c r="Q32" s="2"/>
      <c r="R32" s="2"/>
      <c r="S32" s="2"/>
      <c r="T32" s="2"/>
      <c r="U32" s="2"/>
      <c r="V32" s="2"/>
      <c r="W32" s="2"/>
      <c r="X32" s="2"/>
      <c r="Y32" s="2"/>
      <c r="Z32" s="2"/>
    </row>
    <row r="33" ht="15.75" customHeight="1">
      <c r="A33" s="1" t="s">
        <v>190</v>
      </c>
      <c r="B33" s="1" t="s">
        <v>191</v>
      </c>
      <c r="C33" s="1" t="s">
        <v>192</v>
      </c>
      <c r="D33" s="1" t="s">
        <v>193</v>
      </c>
      <c r="E33" s="1" t="s">
        <v>194</v>
      </c>
      <c r="F33" s="1" t="s">
        <v>195</v>
      </c>
      <c r="G33" s="1" t="s">
        <v>196</v>
      </c>
      <c r="H33" s="1" t="s">
        <v>197</v>
      </c>
      <c r="I33" s="1" t="s">
        <v>198</v>
      </c>
      <c r="J33" s="1" t="s">
        <v>199</v>
      </c>
      <c r="K33" s="1" t="s">
        <v>200</v>
      </c>
      <c r="L33" s="2"/>
      <c r="M33" s="2"/>
      <c r="N33" s="2"/>
      <c r="O33" s="2"/>
      <c r="P33" s="2"/>
      <c r="Q33" s="2"/>
      <c r="R33" s="2"/>
      <c r="S33" s="2"/>
      <c r="T33" s="2"/>
      <c r="U33" s="2"/>
      <c r="V33" s="2"/>
      <c r="W33" s="2"/>
      <c r="X33" s="2"/>
      <c r="Y33" s="2"/>
      <c r="Z33" s="2"/>
    </row>
    <row r="34" ht="15.75" customHeight="1">
      <c r="A34" s="1" t="s">
        <v>201</v>
      </c>
      <c r="B34" s="1" t="s">
        <v>202</v>
      </c>
      <c r="C34" s="1" t="s">
        <v>203</v>
      </c>
      <c r="D34" s="1" t="s">
        <v>204</v>
      </c>
      <c r="E34" s="1" t="s">
        <v>170</v>
      </c>
      <c r="F34" s="1" t="s">
        <v>205</v>
      </c>
      <c r="G34" s="1" t="s">
        <v>206</v>
      </c>
      <c r="H34" s="1" t="s">
        <v>207</v>
      </c>
      <c r="I34" s="1" t="s">
        <v>208</v>
      </c>
      <c r="J34" s="1" t="s">
        <v>209</v>
      </c>
      <c r="K34" s="1" t="s">
        <v>210</v>
      </c>
      <c r="L34" s="2"/>
      <c r="M34" s="2"/>
      <c r="N34" s="2"/>
      <c r="O34" s="2"/>
      <c r="P34" s="2"/>
      <c r="Q34" s="2"/>
      <c r="R34" s="2"/>
      <c r="S34" s="2"/>
      <c r="T34" s="2"/>
      <c r="U34" s="2"/>
      <c r="V34" s="2"/>
      <c r="W34" s="2"/>
      <c r="X34" s="2"/>
      <c r="Y34" s="2"/>
      <c r="Z34" s="2"/>
    </row>
    <row r="35" ht="15.75" customHeight="1">
      <c r="A35" s="1" t="s">
        <v>57</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211</v>
      </c>
      <c r="B36" s="1">
        <v>83.0</v>
      </c>
      <c r="C36" s="1">
        <v>155.0</v>
      </c>
      <c r="D36" s="1">
        <v>221.0</v>
      </c>
      <c r="E36" s="1">
        <v>245.0</v>
      </c>
      <c r="F36" s="1">
        <v>254.0</v>
      </c>
      <c r="G36" s="1">
        <v>243.0</v>
      </c>
      <c r="H36" s="1">
        <v>260.0</v>
      </c>
      <c r="I36" s="1">
        <v>582.0</v>
      </c>
      <c r="J36" s="1">
        <v>781.0</v>
      </c>
      <c r="K36" s="1">
        <v>502.0</v>
      </c>
      <c r="L36" s="2"/>
      <c r="M36" s="2"/>
      <c r="N36" s="2"/>
      <c r="O36" s="2"/>
      <c r="P36" s="2"/>
      <c r="Q36" s="2"/>
      <c r="R36" s="2"/>
      <c r="S36" s="2"/>
      <c r="T36" s="2"/>
      <c r="U36" s="2"/>
      <c r="V36" s="2"/>
      <c r="W36" s="2"/>
      <c r="X36" s="2"/>
      <c r="Y36" s="2"/>
      <c r="Z36" s="2"/>
    </row>
    <row r="37" ht="15.75" customHeight="1">
      <c r="A37" s="1" t="s">
        <v>212</v>
      </c>
      <c r="B37" s="1">
        <v>75.0</v>
      </c>
      <c r="C37" s="1">
        <v>146.0</v>
      </c>
      <c r="D37" s="1">
        <v>210.0</v>
      </c>
      <c r="E37" s="1">
        <v>231.0</v>
      </c>
      <c r="F37" s="1">
        <v>237.0</v>
      </c>
      <c r="G37" s="1">
        <v>221.0</v>
      </c>
      <c r="H37" s="1">
        <v>229.0</v>
      </c>
      <c r="I37" s="1">
        <v>541.0</v>
      </c>
      <c r="J37" s="1">
        <v>727.0</v>
      </c>
      <c r="K37" s="1">
        <v>431.0</v>
      </c>
      <c r="L37" s="2"/>
      <c r="M37" s="2"/>
      <c r="N37" s="2"/>
      <c r="O37" s="2"/>
      <c r="P37" s="2"/>
      <c r="Q37" s="2"/>
      <c r="R37" s="2"/>
      <c r="S37" s="2"/>
      <c r="T37" s="2"/>
      <c r="U37" s="2"/>
      <c r="V37" s="2"/>
      <c r="W37" s="2"/>
      <c r="X37" s="2"/>
      <c r="Y37" s="2"/>
      <c r="Z37" s="2"/>
    </row>
    <row r="38" ht="15.75" customHeight="1">
      <c r="A38" s="1" t="s">
        <v>213</v>
      </c>
      <c r="B38" s="1">
        <v>67.0</v>
      </c>
      <c r="C38" s="1">
        <v>134.0</v>
      </c>
      <c r="D38" s="1">
        <v>192.0</v>
      </c>
      <c r="E38" s="1">
        <v>212.0</v>
      </c>
      <c r="F38" s="1">
        <v>213.0</v>
      </c>
      <c r="G38" s="1">
        <v>184.0</v>
      </c>
      <c r="H38" s="1">
        <v>166.0</v>
      </c>
      <c r="I38" s="1">
        <v>478.0</v>
      </c>
      <c r="J38" s="1">
        <v>644.0</v>
      </c>
      <c r="K38" s="1">
        <v>341.0</v>
      </c>
      <c r="L38" s="2"/>
      <c r="M38" s="2"/>
      <c r="N38" s="2"/>
      <c r="O38" s="2"/>
      <c r="P38" s="2"/>
      <c r="Q38" s="2"/>
      <c r="R38" s="2"/>
      <c r="S38" s="2"/>
      <c r="T38" s="2"/>
      <c r="U38" s="2"/>
      <c r="V38" s="2"/>
      <c r="W38" s="2"/>
      <c r="X38" s="2"/>
      <c r="Y38" s="2"/>
      <c r="Z38" s="2"/>
    </row>
    <row r="39" ht="15.75" customHeight="1">
      <c r="A39" s="1" t="s">
        <v>214</v>
      </c>
      <c r="B39" s="1">
        <v>98.0</v>
      </c>
      <c r="C39" s="1">
        <v>171.0</v>
      </c>
      <c r="D39" s="1">
        <v>240.0</v>
      </c>
      <c r="E39" s="1">
        <v>265.0</v>
      </c>
      <c r="F39" s="1">
        <v>275.0</v>
      </c>
      <c r="G39" s="1">
        <v>284.0</v>
      </c>
      <c r="H39" s="1">
        <v>291.0</v>
      </c>
      <c r="I39" s="1">
        <v>614.0</v>
      </c>
      <c r="J39" s="1">
        <v>807.0</v>
      </c>
      <c r="K39" s="1">
        <v>518.0</v>
      </c>
      <c r="L39" s="2"/>
      <c r="M39" s="2"/>
      <c r="N39" s="2"/>
      <c r="O39" s="2"/>
      <c r="P39" s="2"/>
      <c r="Q39" s="2"/>
      <c r="R39" s="2"/>
      <c r="S39" s="2"/>
      <c r="T39" s="2"/>
      <c r="U39" s="2"/>
      <c r="V39" s="2"/>
      <c r="W39" s="2"/>
      <c r="X39" s="2"/>
      <c r="Y39" s="2"/>
      <c r="Z39" s="2"/>
    </row>
    <row r="40" ht="15.75" customHeight="1">
      <c r="A40" s="1" t="s">
        <v>215</v>
      </c>
      <c r="B40" s="1" t="s">
        <v>216</v>
      </c>
      <c r="C40" s="1" t="s">
        <v>217</v>
      </c>
      <c r="D40" s="1" t="s">
        <v>218</v>
      </c>
      <c r="E40" s="1" t="s">
        <v>219</v>
      </c>
      <c r="F40" s="1" t="s">
        <v>220</v>
      </c>
      <c r="G40" s="1" t="s">
        <v>221</v>
      </c>
      <c r="H40" s="1" t="s">
        <v>222</v>
      </c>
      <c r="I40" s="1" t="s">
        <v>223</v>
      </c>
      <c r="J40" s="1" t="s">
        <v>224</v>
      </c>
      <c r="K40" s="1" t="s">
        <v>225</v>
      </c>
      <c r="L40" s="2"/>
      <c r="M40" s="2"/>
      <c r="N40" s="2"/>
      <c r="O40" s="2"/>
      <c r="P40" s="2"/>
      <c r="Q40" s="2"/>
      <c r="R40" s="2"/>
      <c r="S40" s="2"/>
      <c r="T40" s="2"/>
      <c r="U40" s="2"/>
      <c r="V40" s="2"/>
      <c r="W40" s="2"/>
      <c r="X40" s="2"/>
      <c r="Y40" s="2"/>
      <c r="Z40" s="2"/>
    </row>
    <row r="41" ht="15.75" customHeight="1">
      <c r="A41" s="1" t="s">
        <v>226</v>
      </c>
      <c r="B41" s="1">
        <v>13.0</v>
      </c>
      <c r="C41" s="1">
        <v>26.0</v>
      </c>
      <c r="D41" s="1">
        <v>79.0</v>
      </c>
      <c r="E41" s="1">
        <v>54.0</v>
      </c>
      <c r="F41" s="1">
        <v>45.0</v>
      </c>
      <c r="G41" s="1">
        <v>33.0</v>
      </c>
      <c r="H41" s="1">
        <v>42.0</v>
      </c>
      <c r="I41" s="1">
        <v>133.0</v>
      </c>
      <c r="J41" s="1">
        <v>187.0</v>
      </c>
      <c r="K41" s="1">
        <v>86.0</v>
      </c>
      <c r="L41" s="2"/>
      <c r="M41" s="2"/>
      <c r="N41" s="2"/>
      <c r="O41" s="2"/>
      <c r="P41" s="2"/>
      <c r="Q41" s="2"/>
      <c r="R41" s="2"/>
      <c r="S41" s="2"/>
      <c r="T41" s="2"/>
      <c r="U41" s="2"/>
      <c r="V41" s="2"/>
      <c r="W41" s="2"/>
      <c r="X41" s="2"/>
      <c r="Y41" s="2"/>
      <c r="Z41" s="2"/>
    </row>
    <row r="42" ht="15.75" customHeight="1">
      <c r="A42" s="1" t="s">
        <v>227</v>
      </c>
      <c r="B42" s="1">
        <v>13.0</v>
      </c>
      <c r="C42" s="1">
        <v>26.0</v>
      </c>
      <c r="D42" s="1">
        <v>79.0</v>
      </c>
      <c r="E42" s="1">
        <v>54.0</v>
      </c>
      <c r="F42" s="1">
        <v>45.0</v>
      </c>
      <c r="G42" s="1">
        <v>33.0</v>
      </c>
      <c r="H42" s="1">
        <v>42.0</v>
      </c>
      <c r="I42" s="1">
        <v>133.0</v>
      </c>
      <c r="J42" s="1">
        <v>187.0</v>
      </c>
      <c r="K42" s="1">
        <v>86.0</v>
      </c>
      <c r="L42" s="2"/>
      <c r="M42" s="2"/>
      <c r="N42" s="2"/>
      <c r="O42" s="2"/>
      <c r="P42" s="2"/>
      <c r="Q42" s="2"/>
      <c r="R42" s="2"/>
      <c r="S42" s="2"/>
      <c r="T42" s="2"/>
      <c r="U42" s="2"/>
      <c r="V42" s="2"/>
      <c r="W42" s="2"/>
      <c r="X42" s="2"/>
      <c r="Y42" s="2"/>
      <c r="Z42" s="2"/>
    </row>
    <row r="43" ht="15.75" customHeight="1">
      <c r="A43" s="1" t="s">
        <v>228</v>
      </c>
      <c r="B43" s="1">
        <v>11.0</v>
      </c>
      <c r="C43" s="1">
        <v>12.0</v>
      </c>
      <c r="D43" s="1">
        <v>-9.0</v>
      </c>
      <c r="E43" s="1">
        <v>5.0</v>
      </c>
      <c r="F43" s="1">
        <v>-66.0</v>
      </c>
      <c r="G43" s="1">
        <v>91.0</v>
      </c>
      <c r="H43" s="1">
        <v>-21.0</v>
      </c>
      <c r="I43" s="1">
        <v>-16.0</v>
      </c>
      <c r="J43" s="1">
        <v>-24.0</v>
      </c>
      <c r="K43" s="1">
        <v>-12.0</v>
      </c>
      <c r="L43" s="2"/>
      <c r="M43" s="2"/>
      <c r="N43" s="2"/>
      <c r="O43" s="2"/>
      <c r="P43" s="2"/>
      <c r="Q43" s="2"/>
      <c r="R43" s="2"/>
      <c r="S43" s="2"/>
      <c r="T43" s="2"/>
      <c r="U43" s="2"/>
      <c r="V43" s="2"/>
      <c r="W43" s="2"/>
      <c r="X43" s="2"/>
      <c r="Y43" s="2"/>
      <c r="Z43" s="2"/>
    </row>
    <row r="44" ht="15.75" customHeight="1">
      <c r="A44" s="1" t="s">
        <v>229</v>
      </c>
      <c r="B44" s="1">
        <v>11.0</v>
      </c>
      <c r="C44" s="1">
        <v>12.0</v>
      </c>
      <c r="D44" s="1">
        <v>-9.0</v>
      </c>
      <c r="E44" s="1">
        <v>5.0</v>
      </c>
      <c r="F44" s="1">
        <v>-66.0</v>
      </c>
      <c r="G44" s="1">
        <v>91.0</v>
      </c>
      <c r="H44" s="1">
        <v>-21.0</v>
      </c>
      <c r="I44" s="1">
        <v>-16.0</v>
      </c>
      <c r="J44" s="1">
        <v>-24.0</v>
      </c>
      <c r="K44" s="1">
        <v>-12.0</v>
      </c>
      <c r="L44" s="2"/>
      <c r="M44" s="2"/>
      <c r="N44" s="2"/>
      <c r="O44" s="2"/>
      <c r="P44" s="2"/>
      <c r="Q44" s="2"/>
      <c r="R44" s="2"/>
      <c r="S44" s="2"/>
      <c r="T44" s="2"/>
      <c r="U44" s="2"/>
      <c r="V44" s="2"/>
      <c r="W44" s="2"/>
      <c r="X44" s="2"/>
      <c r="Y44" s="2"/>
      <c r="Z44" s="2"/>
    </row>
    <row r="45" ht="15.75" customHeight="1">
      <c r="A45" s="1" t="s">
        <v>230</v>
      </c>
      <c r="B45" s="1">
        <v>38.0</v>
      </c>
      <c r="C45" s="1">
        <v>78.0</v>
      </c>
      <c r="D45" s="1">
        <v>110.0</v>
      </c>
      <c r="E45" s="1">
        <v>120.0</v>
      </c>
      <c r="F45" s="1">
        <v>118.0</v>
      </c>
      <c r="G45" s="1">
        <v>97.0</v>
      </c>
      <c r="H45" s="1">
        <v>72.0</v>
      </c>
      <c r="I45" s="1">
        <v>273.0</v>
      </c>
      <c r="J45" s="1">
        <v>379.0</v>
      </c>
      <c r="K45" s="1">
        <v>179.0</v>
      </c>
      <c r="L45" s="2"/>
      <c r="M45" s="2"/>
      <c r="N45" s="2"/>
      <c r="O45" s="2"/>
      <c r="P45" s="2"/>
      <c r="Q45" s="2"/>
      <c r="R45" s="2"/>
      <c r="S45" s="2"/>
      <c r="T45" s="2"/>
      <c r="U45" s="2"/>
      <c r="V45" s="2"/>
      <c r="W45" s="2"/>
      <c r="X45" s="2"/>
      <c r="Y45" s="2"/>
      <c r="Z45" s="2"/>
    </row>
    <row r="46" ht="15.75" customHeight="1">
      <c r="A46" s="1" t="s">
        <v>231</v>
      </c>
      <c r="B46" s="1">
        <v>12.0</v>
      </c>
      <c r="C46" s="1">
        <v>26.0</v>
      </c>
      <c r="D46" s="1">
        <v>17.0</v>
      </c>
      <c r="E46" s="1">
        <v>18.0</v>
      </c>
      <c r="F46" s="1">
        <v>46.0</v>
      </c>
      <c r="G46" s="1">
        <v>53.0</v>
      </c>
      <c r="H46" s="1">
        <v>38.0</v>
      </c>
      <c r="I46" s="1">
        <v>34.0</v>
      </c>
      <c r="J46" s="1">
        <v>70.0</v>
      </c>
      <c r="K46" s="1">
        <v>1.0</v>
      </c>
      <c r="L46" s="2"/>
      <c r="M46" s="2"/>
      <c r="N46" s="2"/>
      <c r="O46" s="2"/>
      <c r="P46" s="2"/>
      <c r="Q46" s="2"/>
      <c r="R46" s="2"/>
      <c r="S46" s="2"/>
      <c r="T46" s="2"/>
      <c r="U46" s="2"/>
      <c r="V46" s="2"/>
      <c r="W46" s="2"/>
      <c r="X46" s="2"/>
      <c r="Y46" s="2"/>
      <c r="Z46" s="2"/>
    </row>
    <row r="47" ht="15.75" customHeight="1">
      <c r="A47" s="1" t="s">
        <v>232</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233</v>
      </c>
      <c r="B48" s="1">
        <v>14.0</v>
      </c>
      <c r="C48" s="1">
        <v>15.0</v>
      </c>
      <c r="D48" s="1">
        <v>18.0</v>
      </c>
      <c r="E48" s="1">
        <v>20.0</v>
      </c>
      <c r="F48" s="1">
        <v>21.0</v>
      </c>
      <c r="G48" s="1">
        <v>41.0</v>
      </c>
      <c r="H48" s="1">
        <v>31.0</v>
      </c>
      <c r="I48" s="1">
        <v>32.0</v>
      </c>
      <c r="J48" s="1">
        <v>25.0</v>
      </c>
      <c r="K48" s="1">
        <v>16.0</v>
      </c>
      <c r="L48" s="2"/>
      <c r="M48" s="2"/>
      <c r="N48" s="2"/>
      <c r="O48" s="2"/>
      <c r="P48" s="2"/>
      <c r="Q48" s="2"/>
      <c r="R48" s="2"/>
      <c r="S48" s="2"/>
      <c r="T48" s="2"/>
      <c r="U48" s="2"/>
      <c r="V48" s="2"/>
      <c r="W48" s="2"/>
      <c r="X48" s="2"/>
      <c r="Y48" s="2"/>
      <c r="Z48" s="2"/>
    </row>
    <row r="49" ht="15.75" customHeight="1">
      <c r="A49" s="1" t="s">
        <v>234</v>
      </c>
      <c r="B49" s="1">
        <v>4.0</v>
      </c>
      <c r="C49" s="1">
        <v>4.0</v>
      </c>
      <c r="D49" s="1">
        <v>8.0</v>
      </c>
      <c r="E49" s="1">
        <v>9.0</v>
      </c>
      <c r="F49" s="1">
        <v>10.0</v>
      </c>
      <c r="G49" s="1">
        <v>16.0</v>
      </c>
      <c r="H49" s="1">
        <v>14.0</v>
      </c>
      <c r="I49" s="1">
        <v>11.0</v>
      </c>
      <c r="J49" s="1">
        <v>16.0</v>
      </c>
      <c r="K49" s="1">
        <v>6.0</v>
      </c>
      <c r="L49" s="2"/>
      <c r="M49" s="2"/>
      <c r="N49" s="2"/>
      <c r="O49" s="2"/>
      <c r="P49" s="2"/>
      <c r="Q49" s="2"/>
      <c r="R49" s="2"/>
      <c r="S49" s="2"/>
      <c r="T49" s="2"/>
      <c r="U49" s="2"/>
      <c r="V49" s="2"/>
      <c r="W49" s="2"/>
      <c r="X49" s="2"/>
      <c r="Y49" s="2"/>
      <c r="Z49" s="2"/>
    </row>
    <row r="50" ht="15.75" customHeight="1">
      <c r="A50" s="1" t="s">
        <v>235</v>
      </c>
      <c r="B50" s="1">
        <v>9.0</v>
      </c>
      <c r="C50" s="1">
        <v>11.0</v>
      </c>
      <c r="D50" s="1">
        <v>10.0</v>
      </c>
      <c r="E50" s="1">
        <v>10.0</v>
      </c>
      <c r="F50" s="1">
        <v>10.0</v>
      </c>
      <c r="G50" s="1">
        <v>25.0</v>
      </c>
      <c r="H50" s="1">
        <v>16.0</v>
      </c>
      <c r="I50" s="1">
        <v>20.0</v>
      </c>
      <c r="J50" s="1">
        <v>25.0</v>
      </c>
      <c r="K50" s="1">
        <v>9.0</v>
      </c>
      <c r="L50" s="2"/>
      <c r="M50" s="2"/>
      <c r="N50" s="2"/>
      <c r="O50" s="2"/>
      <c r="P50" s="2"/>
      <c r="Q50" s="2"/>
      <c r="R50" s="2"/>
      <c r="S50" s="2"/>
      <c r="T50" s="2"/>
      <c r="U50" s="2"/>
      <c r="V50" s="2"/>
      <c r="W50" s="2"/>
      <c r="X50" s="2"/>
      <c r="Y50" s="2"/>
      <c r="Z50" s="2"/>
    </row>
    <row r="51" ht="15.75" customHeight="1">
      <c r="A51" s="1" t="s">
        <v>236</v>
      </c>
      <c r="B51" s="1">
        <v>7.0</v>
      </c>
      <c r="C51" s="1">
        <v>10.0</v>
      </c>
      <c r="D51" s="1">
        <v>11.0</v>
      </c>
      <c r="E51" s="1">
        <v>10.0</v>
      </c>
      <c r="F51" s="1">
        <v>10.0</v>
      </c>
      <c r="G51" s="1">
        <v>16.0</v>
      </c>
      <c r="H51" s="1">
        <v>20.0</v>
      </c>
      <c r="I51" s="1">
        <v>25.0</v>
      </c>
      <c r="J51" s="1">
        <v>30.0</v>
      </c>
      <c r="K51" s="1">
        <v>18.0</v>
      </c>
      <c r="L51" s="2"/>
      <c r="M51" s="2"/>
      <c r="N51" s="2"/>
      <c r="O51" s="2"/>
      <c r="P51" s="2"/>
      <c r="Q51" s="2"/>
      <c r="R51" s="2"/>
      <c r="S51" s="2"/>
      <c r="T51" s="2"/>
      <c r="U51" s="2"/>
      <c r="V51" s="2"/>
      <c r="W51" s="2"/>
      <c r="X51" s="2"/>
      <c r="Y51" s="2"/>
      <c r="Z51" s="2"/>
    </row>
    <row r="52" ht="15.75" customHeight="1">
      <c r="A52" s="1" t="s">
        <v>237</v>
      </c>
      <c r="B52" s="1">
        <v>7.0</v>
      </c>
      <c r="C52" s="1">
        <v>10.0</v>
      </c>
      <c r="D52" s="1">
        <v>11.0</v>
      </c>
      <c r="E52" s="1">
        <v>10.0</v>
      </c>
      <c r="F52" s="1">
        <v>10.0</v>
      </c>
      <c r="G52" s="1">
        <v>16.0</v>
      </c>
      <c r="H52" s="1">
        <v>20.0</v>
      </c>
      <c r="I52" s="1">
        <v>25.0</v>
      </c>
      <c r="J52" s="1">
        <v>30.0</v>
      </c>
      <c r="K52" s="1">
        <v>18.0</v>
      </c>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21</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238</v>
      </c>
      <c r="B2" s="2"/>
      <c r="C2" s="2"/>
      <c r="D2" s="2"/>
      <c r="E2" s="2"/>
      <c r="F2" s="2"/>
      <c r="G2" s="2"/>
      <c r="H2" s="2"/>
      <c r="I2" s="2"/>
      <c r="J2" s="2"/>
      <c r="K2" s="2"/>
      <c r="L2" s="2"/>
      <c r="M2" s="2"/>
      <c r="N2" s="2"/>
      <c r="O2" s="2"/>
      <c r="P2" s="2"/>
      <c r="Q2" s="2"/>
      <c r="R2" s="2"/>
      <c r="S2" s="2"/>
      <c r="T2" s="2"/>
      <c r="U2" s="2"/>
      <c r="V2" s="2"/>
      <c r="W2" s="2"/>
      <c r="X2" s="2"/>
      <c r="Y2" s="2"/>
      <c r="Z2" s="2"/>
    </row>
    <row r="3">
      <c r="A3" s="1" t="s">
        <v>239</v>
      </c>
      <c r="B3" s="1" t="s">
        <v>240</v>
      </c>
      <c r="C3" s="1" t="s">
        <v>241</v>
      </c>
      <c r="D3" s="1" t="s">
        <v>242</v>
      </c>
      <c r="E3" s="1" t="s">
        <v>243</v>
      </c>
      <c r="F3" s="1" t="s">
        <v>244</v>
      </c>
      <c r="G3" s="1" t="s">
        <v>245</v>
      </c>
      <c r="H3" s="1" t="s">
        <v>246</v>
      </c>
      <c r="I3" s="1" t="s">
        <v>247</v>
      </c>
      <c r="J3" s="1" t="s">
        <v>248</v>
      </c>
      <c r="K3" s="1" t="s">
        <v>249</v>
      </c>
      <c r="L3" s="2"/>
      <c r="M3" s="2"/>
      <c r="N3" s="2"/>
      <c r="O3" s="2"/>
      <c r="P3" s="2"/>
      <c r="Q3" s="2"/>
      <c r="R3" s="2"/>
      <c r="S3" s="2"/>
      <c r="T3" s="2"/>
      <c r="U3" s="2"/>
      <c r="V3" s="2"/>
      <c r="W3" s="2"/>
      <c r="X3" s="2"/>
      <c r="Y3" s="2"/>
      <c r="Z3" s="2"/>
    </row>
    <row r="4">
      <c r="A4" s="1" t="s">
        <v>250</v>
      </c>
      <c r="B4" s="1" t="s">
        <v>251</v>
      </c>
      <c r="C4" s="1" t="s">
        <v>252</v>
      </c>
      <c r="D4" s="1" t="s">
        <v>253</v>
      </c>
      <c r="E4" s="1" t="s">
        <v>254</v>
      </c>
      <c r="F4" s="1" t="s">
        <v>255</v>
      </c>
      <c r="G4" s="1" t="s">
        <v>256</v>
      </c>
      <c r="H4" s="1" t="s">
        <v>257</v>
      </c>
      <c r="I4" s="1" t="s">
        <v>258</v>
      </c>
      <c r="J4" s="1" t="s">
        <v>259</v>
      </c>
      <c r="K4" s="1" t="s">
        <v>260</v>
      </c>
      <c r="L4" s="2"/>
      <c r="M4" s="2"/>
      <c r="N4" s="2"/>
      <c r="O4" s="2"/>
      <c r="P4" s="2"/>
      <c r="Q4" s="2"/>
      <c r="R4" s="2"/>
      <c r="S4" s="2"/>
      <c r="T4" s="2"/>
      <c r="U4" s="2"/>
      <c r="V4" s="2"/>
      <c r="W4" s="2"/>
      <c r="X4" s="2"/>
      <c r="Y4" s="2"/>
      <c r="Z4" s="2"/>
    </row>
    <row r="5">
      <c r="A5" s="1" t="s">
        <v>261</v>
      </c>
      <c r="B5" s="1" t="s">
        <v>262</v>
      </c>
      <c r="C5" s="1" t="s">
        <v>263</v>
      </c>
      <c r="D5" s="1" t="s">
        <v>264</v>
      </c>
      <c r="E5" s="1" t="s">
        <v>265</v>
      </c>
      <c r="F5" s="1" t="s">
        <v>266</v>
      </c>
      <c r="G5" s="1" t="s">
        <v>267</v>
      </c>
      <c r="H5" s="1" t="s">
        <v>268</v>
      </c>
      <c r="I5" s="1" t="s">
        <v>269</v>
      </c>
      <c r="J5" s="1" t="s">
        <v>270</v>
      </c>
      <c r="K5" s="1" t="s">
        <v>271</v>
      </c>
      <c r="L5" s="2"/>
      <c r="M5" s="2"/>
      <c r="N5" s="2"/>
      <c r="O5" s="2"/>
      <c r="P5" s="2"/>
      <c r="Q5" s="2"/>
      <c r="R5" s="2"/>
      <c r="S5" s="2"/>
      <c r="T5" s="2"/>
      <c r="U5" s="2"/>
      <c r="V5" s="2"/>
      <c r="W5" s="2"/>
      <c r="X5" s="2"/>
      <c r="Y5" s="2"/>
      <c r="Z5" s="2"/>
    </row>
    <row r="6">
      <c r="A6" s="1" t="s">
        <v>272</v>
      </c>
      <c r="B6" s="1" t="s">
        <v>262</v>
      </c>
      <c r="C6" s="1" t="s">
        <v>263</v>
      </c>
      <c r="D6" s="1" t="s">
        <v>264</v>
      </c>
      <c r="E6" s="1" t="s">
        <v>265</v>
      </c>
      <c r="F6" s="1" t="s">
        <v>266</v>
      </c>
      <c r="G6" s="1" t="s">
        <v>267</v>
      </c>
      <c r="H6" s="1" t="s">
        <v>268</v>
      </c>
      <c r="I6" s="1" t="s">
        <v>269</v>
      </c>
      <c r="J6" s="1" t="s">
        <v>270</v>
      </c>
      <c r="K6" s="1" t="s">
        <v>271</v>
      </c>
      <c r="L6" s="2"/>
      <c r="M6" s="2"/>
      <c r="N6" s="2"/>
      <c r="O6" s="2"/>
      <c r="P6" s="2"/>
      <c r="Q6" s="2"/>
      <c r="R6" s="2"/>
      <c r="S6" s="2"/>
      <c r="T6" s="2"/>
      <c r="U6" s="2"/>
      <c r="V6" s="2"/>
      <c r="W6" s="2"/>
      <c r="X6" s="2"/>
      <c r="Y6" s="2"/>
      <c r="Z6" s="2"/>
    </row>
    <row r="7">
      <c r="A7" s="1" t="s">
        <v>273</v>
      </c>
      <c r="B7" s="2"/>
      <c r="C7" s="2"/>
      <c r="D7" s="2"/>
      <c r="E7" s="2"/>
      <c r="F7" s="2"/>
      <c r="G7" s="2"/>
      <c r="H7" s="2"/>
      <c r="I7" s="2"/>
      <c r="J7" s="2"/>
      <c r="K7" s="2"/>
      <c r="L7" s="2"/>
      <c r="M7" s="2"/>
      <c r="N7" s="2"/>
      <c r="O7" s="2"/>
      <c r="P7" s="2"/>
      <c r="Q7" s="2"/>
      <c r="R7" s="2"/>
      <c r="S7" s="2"/>
      <c r="T7" s="2"/>
      <c r="U7" s="2"/>
      <c r="V7" s="2"/>
      <c r="W7" s="2"/>
      <c r="X7" s="2"/>
      <c r="Y7" s="2"/>
      <c r="Z7" s="2"/>
    </row>
    <row r="8">
      <c r="A8" s="1" t="s">
        <v>274</v>
      </c>
      <c r="B8" s="1" t="s">
        <v>275</v>
      </c>
      <c r="C8" s="1" t="s">
        <v>276</v>
      </c>
      <c r="D8" s="1" t="s">
        <v>277</v>
      </c>
      <c r="E8" s="1" t="s">
        <v>278</v>
      </c>
      <c r="F8" s="1" t="s">
        <v>279</v>
      </c>
      <c r="G8" s="1" t="s">
        <v>280</v>
      </c>
      <c r="H8" s="1" t="s">
        <v>281</v>
      </c>
      <c r="I8" s="1" t="s">
        <v>282</v>
      </c>
      <c r="J8" s="1" t="s">
        <v>283</v>
      </c>
      <c r="K8" s="1" t="s">
        <v>284</v>
      </c>
      <c r="L8" s="2"/>
      <c r="M8" s="2"/>
      <c r="N8" s="2"/>
      <c r="O8" s="2"/>
      <c r="P8" s="2"/>
      <c r="Q8" s="2"/>
      <c r="R8" s="2"/>
      <c r="S8" s="2"/>
      <c r="T8" s="2"/>
      <c r="U8" s="2"/>
      <c r="V8" s="2"/>
      <c r="W8" s="2"/>
      <c r="X8" s="2"/>
      <c r="Y8" s="2"/>
      <c r="Z8" s="2"/>
    </row>
    <row r="9">
      <c r="A9" s="1" t="s">
        <v>285</v>
      </c>
      <c r="B9" s="1" t="s">
        <v>286</v>
      </c>
      <c r="C9" s="1" t="s">
        <v>287</v>
      </c>
      <c r="D9" s="1" t="s">
        <v>288</v>
      </c>
      <c r="E9" s="1" t="s">
        <v>289</v>
      </c>
      <c r="F9" s="1" t="s">
        <v>290</v>
      </c>
      <c r="G9" s="1" t="s">
        <v>291</v>
      </c>
      <c r="H9" s="1" t="s">
        <v>292</v>
      </c>
      <c r="I9" s="1" t="s">
        <v>293</v>
      </c>
      <c r="J9" s="1" t="s">
        <v>294</v>
      </c>
      <c r="K9" s="1" t="s">
        <v>295</v>
      </c>
      <c r="L9" s="2"/>
      <c r="M9" s="2"/>
      <c r="N9" s="2"/>
      <c r="O9" s="2"/>
      <c r="P9" s="2"/>
      <c r="Q9" s="2"/>
      <c r="R9" s="2"/>
      <c r="S9" s="2"/>
      <c r="T9" s="2"/>
      <c r="U9" s="2"/>
      <c r="V9" s="2"/>
      <c r="W9" s="2"/>
      <c r="X9" s="2"/>
      <c r="Y9" s="2"/>
      <c r="Z9" s="2"/>
    </row>
    <row r="10">
      <c r="A10" s="1" t="s">
        <v>296</v>
      </c>
      <c r="B10" s="1" t="s">
        <v>297</v>
      </c>
      <c r="C10" s="1" t="s">
        <v>298</v>
      </c>
      <c r="D10" s="1" t="s">
        <v>299</v>
      </c>
      <c r="E10" s="1" t="s">
        <v>300</v>
      </c>
      <c r="F10" s="1" t="s">
        <v>301</v>
      </c>
      <c r="G10" s="1" t="s">
        <v>302</v>
      </c>
      <c r="H10" s="1" t="s">
        <v>303</v>
      </c>
      <c r="I10" s="1" t="s">
        <v>304</v>
      </c>
      <c r="J10" s="1" t="s">
        <v>305</v>
      </c>
      <c r="K10" s="1" t="s">
        <v>306</v>
      </c>
      <c r="L10" s="2"/>
      <c r="M10" s="2"/>
      <c r="N10" s="2"/>
      <c r="O10" s="2"/>
      <c r="P10" s="2"/>
      <c r="Q10" s="2"/>
      <c r="R10" s="2"/>
      <c r="S10" s="2"/>
      <c r="T10" s="2"/>
      <c r="U10" s="2"/>
      <c r="V10" s="2"/>
      <c r="W10" s="2"/>
      <c r="X10" s="2"/>
      <c r="Y10" s="2"/>
      <c r="Z10" s="2"/>
    </row>
    <row r="11">
      <c r="A11" s="1" t="s">
        <v>307</v>
      </c>
      <c r="B11" s="1" t="s">
        <v>111</v>
      </c>
      <c r="C11" s="1" t="s">
        <v>173</v>
      </c>
      <c r="D11" s="1" t="s">
        <v>308</v>
      </c>
      <c r="E11" s="1" t="s">
        <v>309</v>
      </c>
      <c r="F11" s="1" t="s">
        <v>310</v>
      </c>
      <c r="G11" s="1" t="s">
        <v>311</v>
      </c>
      <c r="H11" s="1" t="s">
        <v>312</v>
      </c>
      <c r="I11" s="1" t="s">
        <v>313</v>
      </c>
      <c r="J11" s="1" t="s">
        <v>314</v>
      </c>
      <c r="K11" s="1" t="s">
        <v>315</v>
      </c>
      <c r="L11" s="2"/>
      <c r="M11" s="2"/>
      <c r="N11" s="2"/>
      <c r="O11" s="2"/>
      <c r="P11" s="2"/>
      <c r="Q11" s="2"/>
      <c r="R11" s="2"/>
      <c r="S11" s="2"/>
      <c r="T11" s="2"/>
      <c r="U11" s="2"/>
      <c r="V11" s="2"/>
      <c r="W11" s="2"/>
      <c r="X11" s="2"/>
      <c r="Y11" s="2"/>
      <c r="Z11" s="2"/>
    </row>
    <row r="12">
      <c r="A12" s="1" t="s">
        <v>316</v>
      </c>
      <c r="B12" s="1" t="s">
        <v>317</v>
      </c>
      <c r="C12" s="1" t="s">
        <v>318</v>
      </c>
      <c r="D12" s="1" t="s">
        <v>319</v>
      </c>
      <c r="E12" s="1" t="s">
        <v>320</v>
      </c>
      <c r="F12" s="1" t="s">
        <v>321</v>
      </c>
      <c r="G12" s="1" t="s">
        <v>322</v>
      </c>
      <c r="H12" s="1" t="s">
        <v>323</v>
      </c>
      <c r="I12" s="1">
        <v>12.0</v>
      </c>
      <c r="J12" s="1" t="s">
        <v>324</v>
      </c>
      <c r="K12" s="1">
        <v>9.0</v>
      </c>
      <c r="L12" s="2"/>
      <c r="M12" s="2"/>
      <c r="N12" s="2"/>
      <c r="O12" s="2"/>
      <c r="P12" s="2"/>
      <c r="Q12" s="2"/>
      <c r="R12" s="2"/>
      <c r="S12" s="2"/>
      <c r="T12" s="2"/>
      <c r="U12" s="2"/>
      <c r="V12" s="2"/>
      <c r="W12" s="2"/>
      <c r="X12" s="2"/>
      <c r="Y12" s="2"/>
      <c r="Z12" s="2"/>
    </row>
    <row r="13">
      <c r="A13" s="1" t="s">
        <v>325</v>
      </c>
      <c r="B13" s="1" t="s">
        <v>326</v>
      </c>
      <c r="C13" s="1" t="s">
        <v>327</v>
      </c>
      <c r="D13" s="1" t="s">
        <v>328</v>
      </c>
      <c r="E13" s="1" t="s">
        <v>329</v>
      </c>
      <c r="F13" s="1" t="s">
        <v>330</v>
      </c>
      <c r="G13" s="1" t="s">
        <v>331</v>
      </c>
      <c r="H13" s="1" t="s">
        <v>332</v>
      </c>
      <c r="I13" s="1" t="s">
        <v>333</v>
      </c>
      <c r="J13" s="1" t="s">
        <v>334</v>
      </c>
      <c r="K13" s="1" t="s">
        <v>328</v>
      </c>
      <c r="L13" s="2"/>
      <c r="M13" s="2"/>
      <c r="N13" s="2"/>
      <c r="O13" s="2"/>
      <c r="P13" s="2"/>
      <c r="Q13" s="2"/>
      <c r="R13" s="2"/>
      <c r="S13" s="2"/>
      <c r="T13" s="2"/>
      <c r="U13" s="2"/>
      <c r="V13" s="2"/>
      <c r="W13" s="2"/>
      <c r="X13" s="2"/>
      <c r="Y13" s="2"/>
      <c r="Z13" s="2"/>
    </row>
    <row r="14">
      <c r="A14" s="1" t="s">
        <v>335</v>
      </c>
      <c r="B14" s="1" t="s">
        <v>326</v>
      </c>
      <c r="C14" s="1" t="s">
        <v>327</v>
      </c>
      <c r="D14" s="1" t="s">
        <v>328</v>
      </c>
      <c r="E14" s="1" t="s">
        <v>329</v>
      </c>
      <c r="F14" s="1" t="s">
        <v>330</v>
      </c>
      <c r="G14" s="1" t="s">
        <v>331</v>
      </c>
      <c r="H14" s="1" t="s">
        <v>332</v>
      </c>
      <c r="I14" s="1" t="s">
        <v>333</v>
      </c>
      <c r="J14" s="1" t="s">
        <v>334</v>
      </c>
      <c r="K14" s="1" t="s">
        <v>328</v>
      </c>
      <c r="L14" s="2"/>
      <c r="M14" s="2"/>
      <c r="N14" s="2"/>
      <c r="O14" s="2"/>
      <c r="P14" s="2"/>
      <c r="Q14" s="2"/>
      <c r="R14" s="2"/>
      <c r="S14" s="2"/>
      <c r="T14" s="2"/>
      <c r="U14" s="2"/>
      <c r="V14" s="2"/>
      <c r="W14" s="2"/>
      <c r="X14" s="2"/>
      <c r="Y14" s="2"/>
      <c r="Z14" s="2"/>
    </row>
    <row r="15">
      <c r="A15" s="1" t="s">
        <v>336</v>
      </c>
      <c r="B15" s="1" t="s">
        <v>326</v>
      </c>
      <c r="C15" s="1" t="s">
        <v>327</v>
      </c>
      <c r="D15" s="1" t="s">
        <v>328</v>
      </c>
      <c r="E15" s="1" t="s">
        <v>329</v>
      </c>
      <c r="F15" s="1" t="s">
        <v>330</v>
      </c>
      <c r="G15" s="1" t="s">
        <v>331</v>
      </c>
      <c r="H15" s="1" t="s">
        <v>332</v>
      </c>
      <c r="I15" s="1" t="s">
        <v>333</v>
      </c>
      <c r="J15" s="1" t="s">
        <v>334</v>
      </c>
      <c r="K15" s="1" t="s">
        <v>328</v>
      </c>
      <c r="L15" s="2"/>
      <c r="M15" s="2"/>
      <c r="N15" s="2"/>
      <c r="O15" s="2"/>
      <c r="P15" s="2"/>
      <c r="Q15" s="2"/>
      <c r="R15" s="2"/>
      <c r="S15" s="2"/>
      <c r="T15" s="2"/>
      <c r="U15" s="2"/>
      <c r="V15" s="2"/>
      <c r="W15" s="2"/>
      <c r="X15" s="2"/>
      <c r="Y15" s="2"/>
      <c r="Z15" s="2"/>
    </row>
    <row r="16">
      <c r="A16" s="1" t="s">
        <v>337</v>
      </c>
      <c r="B16" s="1" t="s">
        <v>338</v>
      </c>
      <c r="C16" s="1" t="s">
        <v>339</v>
      </c>
      <c r="D16" s="1" t="s">
        <v>340</v>
      </c>
      <c r="E16" s="1" t="s">
        <v>341</v>
      </c>
      <c r="F16" s="1" t="s">
        <v>342</v>
      </c>
      <c r="G16" s="1" t="s">
        <v>343</v>
      </c>
      <c r="H16" s="1" t="s">
        <v>344</v>
      </c>
      <c r="I16" s="1" t="s">
        <v>345</v>
      </c>
      <c r="J16" s="1" t="s">
        <v>346</v>
      </c>
      <c r="K16" s="1" t="s">
        <v>347</v>
      </c>
      <c r="L16" s="2"/>
      <c r="M16" s="2"/>
      <c r="N16" s="2"/>
      <c r="O16" s="2"/>
      <c r="P16" s="2"/>
      <c r="Q16" s="2"/>
      <c r="R16" s="2"/>
      <c r="S16" s="2"/>
      <c r="T16" s="2"/>
      <c r="U16" s="2"/>
      <c r="V16" s="2"/>
      <c r="W16" s="2"/>
      <c r="X16" s="2"/>
      <c r="Y16" s="2"/>
      <c r="Z16" s="2"/>
    </row>
    <row r="17">
      <c r="A17" s="1" t="s">
        <v>348</v>
      </c>
      <c r="B17" s="1" t="s">
        <v>349</v>
      </c>
      <c r="C17" s="1" t="s">
        <v>350</v>
      </c>
      <c r="D17" s="1" t="s">
        <v>351</v>
      </c>
      <c r="E17" s="1" t="s">
        <v>352</v>
      </c>
      <c r="F17" s="1" t="s">
        <v>353</v>
      </c>
      <c r="G17" s="1" t="s">
        <v>354</v>
      </c>
      <c r="H17" s="1" t="s">
        <v>355</v>
      </c>
      <c r="I17" s="1" t="s">
        <v>356</v>
      </c>
      <c r="J17" s="1" t="s">
        <v>357</v>
      </c>
      <c r="K17" s="1" t="s">
        <v>358</v>
      </c>
      <c r="L17" s="2"/>
      <c r="M17" s="2"/>
      <c r="N17" s="2"/>
      <c r="O17" s="2"/>
      <c r="P17" s="2"/>
      <c r="Q17" s="2"/>
      <c r="R17" s="2"/>
      <c r="S17" s="2"/>
      <c r="T17" s="2"/>
      <c r="U17" s="2"/>
      <c r="V17" s="2"/>
      <c r="W17" s="2"/>
      <c r="X17" s="2"/>
      <c r="Y17" s="2"/>
      <c r="Z17" s="2"/>
    </row>
    <row r="18">
      <c r="A18" s="1" t="s">
        <v>359</v>
      </c>
      <c r="B18" s="1" t="s">
        <v>360</v>
      </c>
      <c r="C18" s="1" t="s">
        <v>361</v>
      </c>
      <c r="D18" s="1" t="s">
        <v>362</v>
      </c>
      <c r="E18" s="1" t="s">
        <v>363</v>
      </c>
      <c r="F18" s="1" t="s">
        <v>364</v>
      </c>
      <c r="G18" s="1" t="s">
        <v>365</v>
      </c>
      <c r="H18" s="1" t="s">
        <v>366</v>
      </c>
      <c r="I18" s="1" t="s">
        <v>367</v>
      </c>
      <c r="J18" s="1" t="s">
        <v>357</v>
      </c>
      <c r="K18" s="1" t="s">
        <v>368</v>
      </c>
      <c r="L18" s="2"/>
      <c r="M18" s="2"/>
      <c r="N18" s="2"/>
      <c r="O18" s="2"/>
      <c r="P18" s="2"/>
      <c r="Q18" s="2"/>
      <c r="R18" s="2"/>
      <c r="S18" s="2"/>
      <c r="T18" s="2"/>
      <c r="U18" s="2"/>
      <c r="V18" s="2"/>
      <c r="W18" s="2"/>
      <c r="X18" s="2"/>
      <c r="Y18" s="2"/>
      <c r="Z18" s="2"/>
    </row>
    <row r="19">
      <c r="A19" s="1" t="s">
        <v>369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369</v>
      </c>
      <c r="B20" s="1" t="s">
        <v>203</v>
      </c>
      <c r="C20" s="1" t="s">
        <v>370</v>
      </c>
      <c r="D20" s="1" t="s">
        <v>371</v>
      </c>
      <c r="E20" s="1" t="s">
        <v>372</v>
      </c>
      <c r="F20" s="1" t="s">
        <v>373</v>
      </c>
      <c r="G20" s="1" t="s">
        <v>374</v>
      </c>
      <c r="H20" s="1" t="s">
        <v>375</v>
      </c>
      <c r="I20" s="1" t="s">
        <v>376</v>
      </c>
      <c r="J20" s="1" t="s">
        <v>377</v>
      </c>
      <c r="K20" s="1" t="s">
        <v>374</v>
      </c>
      <c r="L20" s="2"/>
      <c r="M20" s="2"/>
      <c r="N20" s="2"/>
      <c r="O20" s="2"/>
      <c r="P20" s="2"/>
      <c r="Q20" s="2"/>
      <c r="R20" s="2"/>
      <c r="S20" s="2"/>
      <c r="T20" s="2"/>
      <c r="U20" s="2"/>
      <c r="V20" s="2"/>
      <c r="W20" s="2"/>
      <c r="X20" s="2"/>
      <c r="Y20" s="2"/>
      <c r="Z20" s="2"/>
    </row>
    <row r="21" ht="15.75" customHeight="1">
      <c r="A21" s="1" t="s">
        <v>378</v>
      </c>
      <c r="B21" s="1" t="s">
        <v>379</v>
      </c>
      <c r="C21" s="1" t="s">
        <v>380</v>
      </c>
      <c r="D21" s="1" t="s">
        <v>381</v>
      </c>
      <c r="E21" s="1" t="s">
        <v>382</v>
      </c>
      <c r="F21" s="1" t="s">
        <v>383</v>
      </c>
      <c r="G21" s="1" t="s">
        <v>384</v>
      </c>
      <c r="H21" s="1" t="s">
        <v>385</v>
      </c>
      <c r="I21" s="1" t="s">
        <v>386</v>
      </c>
      <c r="J21" s="1" t="s">
        <v>387</v>
      </c>
      <c r="K21" s="1" t="s">
        <v>388</v>
      </c>
      <c r="L21" s="2"/>
      <c r="M21" s="2"/>
      <c r="N21" s="2"/>
      <c r="O21" s="2"/>
      <c r="P21" s="2"/>
      <c r="Q21" s="2"/>
      <c r="R21" s="2"/>
      <c r="S21" s="2"/>
      <c r="T21" s="2"/>
      <c r="U21" s="2"/>
      <c r="V21" s="2"/>
      <c r="W21" s="2"/>
      <c r="X21" s="2"/>
      <c r="Y21" s="2"/>
      <c r="Z21" s="2"/>
    </row>
    <row r="22" ht="15.75" customHeight="1">
      <c r="A22" s="1" t="s">
        <v>389</v>
      </c>
      <c r="B22" s="1" t="s">
        <v>390</v>
      </c>
      <c r="C22" s="1" t="s">
        <v>174</v>
      </c>
      <c r="D22" s="1" t="s">
        <v>391</v>
      </c>
      <c r="E22" s="1" t="s">
        <v>392</v>
      </c>
      <c r="F22" s="1" t="s">
        <v>393</v>
      </c>
      <c r="G22" s="1" t="s">
        <v>391</v>
      </c>
      <c r="H22" s="1" t="s">
        <v>394</v>
      </c>
      <c r="I22" s="1" t="s">
        <v>339</v>
      </c>
      <c r="J22" s="1" t="s">
        <v>395</v>
      </c>
      <c r="K22" s="1" t="s">
        <v>396</v>
      </c>
      <c r="L22" s="2"/>
      <c r="M22" s="2"/>
      <c r="N22" s="2"/>
      <c r="O22" s="2"/>
      <c r="P22" s="2"/>
      <c r="Q22" s="2"/>
      <c r="R22" s="2"/>
      <c r="S22" s="2"/>
      <c r="T22" s="2"/>
      <c r="U22" s="2"/>
      <c r="V22" s="2"/>
      <c r="W22" s="2"/>
      <c r="X22" s="2"/>
      <c r="Y22" s="2"/>
      <c r="Z22" s="2"/>
    </row>
    <row r="23" ht="15.75" customHeight="1">
      <c r="A23" s="1" t="s">
        <v>397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398</v>
      </c>
      <c r="B24" s="1" t="s">
        <v>399</v>
      </c>
      <c r="C24" s="1" t="s">
        <v>400</v>
      </c>
      <c r="D24" s="1" t="s">
        <v>401</v>
      </c>
      <c r="E24" s="1" t="s">
        <v>402</v>
      </c>
      <c r="F24" s="1" t="s">
        <v>403</v>
      </c>
      <c r="G24" s="1" t="s">
        <v>184</v>
      </c>
      <c r="H24" s="1" t="s">
        <v>404</v>
      </c>
      <c r="I24" s="1" t="s">
        <v>405</v>
      </c>
      <c r="J24" s="1" t="s">
        <v>406</v>
      </c>
      <c r="K24" s="1" t="s">
        <v>407</v>
      </c>
      <c r="L24" s="2"/>
      <c r="M24" s="2"/>
      <c r="N24" s="2"/>
      <c r="O24" s="2"/>
      <c r="P24" s="2"/>
      <c r="Q24" s="2"/>
      <c r="R24" s="2"/>
      <c r="S24" s="2"/>
      <c r="T24" s="2"/>
      <c r="U24" s="2"/>
      <c r="V24" s="2"/>
      <c r="W24" s="2"/>
      <c r="X24" s="2"/>
      <c r="Y24" s="2"/>
      <c r="Z24" s="2"/>
    </row>
    <row r="25" ht="15.75" customHeight="1">
      <c r="A25" s="1" t="s">
        <v>408</v>
      </c>
      <c r="B25" s="1" t="s">
        <v>374</v>
      </c>
      <c r="C25" s="1" t="s">
        <v>409</v>
      </c>
      <c r="D25" s="1" t="s">
        <v>410</v>
      </c>
      <c r="E25" s="1" t="s">
        <v>399</v>
      </c>
      <c r="F25" s="1" t="s">
        <v>411</v>
      </c>
      <c r="G25" s="1" t="s">
        <v>409</v>
      </c>
      <c r="H25" s="1" t="s">
        <v>412</v>
      </c>
      <c r="I25" s="1" t="s">
        <v>413</v>
      </c>
      <c r="J25" s="1" t="s">
        <v>414</v>
      </c>
      <c r="K25" s="1" t="s">
        <v>414</v>
      </c>
      <c r="L25" s="2"/>
      <c r="M25" s="2"/>
      <c r="N25" s="2"/>
      <c r="O25" s="2"/>
      <c r="P25" s="2"/>
      <c r="Q25" s="2"/>
      <c r="R25" s="2"/>
      <c r="S25" s="2"/>
      <c r="T25" s="2"/>
      <c r="U25" s="2"/>
      <c r="V25" s="2"/>
      <c r="W25" s="2"/>
      <c r="X25" s="2"/>
      <c r="Y25" s="2"/>
      <c r="Z25" s="2"/>
    </row>
    <row r="26" ht="15.75" customHeight="1">
      <c r="A26" s="1" t="s">
        <v>415</v>
      </c>
      <c r="B26" s="1" t="s">
        <v>416</v>
      </c>
      <c r="C26" s="1" t="s">
        <v>417</v>
      </c>
      <c r="D26" s="1" t="s">
        <v>418</v>
      </c>
      <c r="E26" s="1" t="s">
        <v>419</v>
      </c>
      <c r="F26" s="1" t="s">
        <v>420</v>
      </c>
      <c r="G26" s="1" t="s">
        <v>421</v>
      </c>
      <c r="H26" s="1" t="s">
        <v>422</v>
      </c>
      <c r="I26" s="1" t="s">
        <v>423</v>
      </c>
      <c r="J26" s="1" t="s">
        <v>424</v>
      </c>
      <c r="K26" s="1" t="s">
        <v>425</v>
      </c>
      <c r="L26" s="2"/>
      <c r="M26" s="2"/>
      <c r="N26" s="2"/>
      <c r="O26" s="2"/>
      <c r="P26" s="2"/>
      <c r="Q26" s="2"/>
      <c r="R26" s="2"/>
      <c r="S26" s="2"/>
      <c r="T26" s="2"/>
      <c r="U26" s="2"/>
      <c r="V26" s="2"/>
      <c r="W26" s="2"/>
      <c r="X26" s="2"/>
      <c r="Y26" s="2"/>
      <c r="Z26" s="2"/>
    </row>
    <row r="27" ht="15.75" customHeight="1">
      <c r="A27" s="1" t="s">
        <v>426</v>
      </c>
      <c r="B27" s="1" t="s">
        <v>427</v>
      </c>
      <c r="C27" s="1" t="s">
        <v>428</v>
      </c>
      <c r="D27" s="1" t="s">
        <v>429</v>
      </c>
      <c r="E27" s="1" t="s">
        <v>430</v>
      </c>
      <c r="F27" s="1" t="s">
        <v>431</v>
      </c>
      <c r="G27" s="1" t="s">
        <v>432</v>
      </c>
      <c r="H27" s="1" t="s">
        <v>433</v>
      </c>
      <c r="I27" s="1" t="s">
        <v>434</v>
      </c>
      <c r="J27" s="1" t="s">
        <v>435</v>
      </c>
      <c r="K27" s="1" t="s">
        <v>436</v>
      </c>
      <c r="L27" s="2"/>
      <c r="M27" s="2"/>
      <c r="N27" s="2"/>
      <c r="O27" s="2"/>
      <c r="P27" s="2"/>
      <c r="Q27" s="2"/>
      <c r="R27" s="2"/>
      <c r="S27" s="2"/>
      <c r="T27" s="2"/>
      <c r="U27" s="2"/>
      <c r="V27" s="2"/>
      <c r="W27" s="2"/>
      <c r="X27" s="2"/>
      <c r="Y27" s="2"/>
      <c r="Z27" s="2"/>
    </row>
    <row r="28" ht="15.75" customHeight="1">
      <c r="A28" s="1" t="s">
        <v>437</v>
      </c>
      <c r="B28" s="1" t="s">
        <v>438</v>
      </c>
      <c r="C28" s="1" t="s">
        <v>439</v>
      </c>
      <c r="D28" s="1" t="s">
        <v>440</v>
      </c>
      <c r="E28" s="1" t="s">
        <v>441</v>
      </c>
      <c r="F28" s="1" t="s">
        <v>442</v>
      </c>
      <c r="G28" s="1" t="s">
        <v>443</v>
      </c>
      <c r="H28" s="1" t="s">
        <v>444</v>
      </c>
      <c r="I28" s="1" t="s">
        <v>445</v>
      </c>
      <c r="J28" s="1" t="s">
        <v>446</v>
      </c>
      <c r="K28" s="1" t="s">
        <v>447</v>
      </c>
      <c r="L28" s="2"/>
      <c r="M28" s="2"/>
      <c r="N28" s="2"/>
      <c r="O28" s="2"/>
      <c r="P28" s="2"/>
      <c r="Q28" s="2"/>
      <c r="R28" s="2"/>
      <c r="S28" s="2"/>
      <c r="T28" s="2"/>
      <c r="U28" s="2"/>
      <c r="V28" s="2"/>
      <c r="W28" s="2"/>
      <c r="X28" s="2"/>
      <c r="Y28" s="2"/>
      <c r="Z28" s="2"/>
    </row>
    <row r="29" ht="15.75" customHeight="1">
      <c r="A29" s="1" t="s">
        <v>448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449</v>
      </c>
      <c r="B30" s="1" t="s">
        <v>450</v>
      </c>
      <c r="C30" s="1" t="s">
        <v>451</v>
      </c>
      <c r="D30" s="1" t="s">
        <v>452</v>
      </c>
      <c r="E30" s="1" t="s">
        <v>453</v>
      </c>
      <c r="F30" s="1" t="s">
        <v>454</v>
      </c>
      <c r="G30" s="1" t="s">
        <v>455</v>
      </c>
      <c r="H30" s="1" t="s">
        <v>456</v>
      </c>
      <c r="I30" s="1" t="s">
        <v>457</v>
      </c>
      <c r="J30" s="1" t="s">
        <v>458</v>
      </c>
      <c r="K30" s="1" t="s">
        <v>459</v>
      </c>
      <c r="L30" s="2"/>
      <c r="M30" s="2"/>
      <c r="N30" s="2"/>
      <c r="O30" s="2"/>
      <c r="P30" s="2"/>
      <c r="Q30" s="2"/>
      <c r="R30" s="2"/>
      <c r="S30" s="2"/>
      <c r="T30" s="2"/>
      <c r="U30" s="2"/>
      <c r="V30" s="2"/>
      <c r="W30" s="2"/>
      <c r="X30" s="2"/>
      <c r="Y30" s="2"/>
      <c r="Z30" s="2"/>
    </row>
    <row r="31" ht="15.75" customHeight="1">
      <c r="A31" s="1" t="s">
        <v>460</v>
      </c>
      <c r="B31" s="1" t="s">
        <v>461</v>
      </c>
      <c r="C31" s="1" t="s">
        <v>462</v>
      </c>
      <c r="D31" s="1" t="s">
        <v>463</v>
      </c>
      <c r="E31" s="1" t="s">
        <v>464</v>
      </c>
      <c r="F31" s="1" t="s">
        <v>465</v>
      </c>
      <c r="G31" s="1" t="s">
        <v>466</v>
      </c>
      <c r="H31" s="1" t="s">
        <v>467</v>
      </c>
      <c r="I31" s="1" t="s">
        <v>468</v>
      </c>
      <c r="J31" s="1" t="s">
        <v>469</v>
      </c>
      <c r="K31" s="1" t="s">
        <v>470</v>
      </c>
      <c r="L31" s="2"/>
      <c r="M31" s="2"/>
      <c r="N31" s="2"/>
      <c r="O31" s="2"/>
      <c r="P31" s="2"/>
      <c r="Q31" s="2"/>
      <c r="R31" s="2"/>
      <c r="S31" s="2"/>
      <c r="T31" s="2"/>
      <c r="U31" s="2"/>
      <c r="V31" s="2"/>
      <c r="W31" s="2"/>
      <c r="X31" s="2"/>
      <c r="Y31" s="2"/>
      <c r="Z31" s="2"/>
    </row>
    <row r="32" ht="15.75" customHeight="1">
      <c r="A32" s="1" t="s">
        <v>471</v>
      </c>
      <c r="B32" s="1" t="s">
        <v>472</v>
      </c>
      <c r="C32" s="1" t="s">
        <v>473</v>
      </c>
      <c r="D32" s="1" t="s">
        <v>474</v>
      </c>
      <c r="E32" s="1" t="s">
        <v>453</v>
      </c>
      <c r="F32" s="1" t="s">
        <v>454</v>
      </c>
      <c r="G32" s="1" t="s">
        <v>475</v>
      </c>
      <c r="H32" s="1" t="s">
        <v>476</v>
      </c>
      <c r="I32" s="1" t="s">
        <v>477</v>
      </c>
      <c r="J32" s="1" t="s">
        <v>478</v>
      </c>
      <c r="K32" s="1" t="s">
        <v>479</v>
      </c>
      <c r="L32" s="2"/>
      <c r="M32" s="2"/>
      <c r="N32" s="2"/>
      <c r="O32" s="2"/>
      <c r="P32" s="2"/>
      <c r="Q32" s="2"/>
      <c r="R32" s="2"/>
      <c r="S32" s="2"/>
      <c r="T32" s="2"/>
      <c r="U32" s="2"/>
      <c r="V32" s="2"/>
      <c r="W32" s="2"/>
      <c r="X32" s="2"/>
      <c r="Y32" s="2"/>
      <c r="Z32" s="2"/>
    </row>
    <row r="33" ht="15.75" customHeight="1">
      <c r="A33" s="1" t="s">
        <v>480</v>
      </c>
      <c r="B33" s="1" t="s">
        <v>481</v>
      </c>
      <c r="C33" s="1" t="s">
        <v>482</v>
      </c>
      <c r="D33" s="1" t="s">
        <v>483</v>
      </c>
      <c r="E33" s="1" t="s">
        <v>464</v>
      </c>
      <c r="F33" s="1" t="s">
        <v>465</v>
      </c>
      <c r="G33" s="1" t="s">
        <v>484</v>
      </c>
      <c r="H33" s="1" t="s">
        <v>485</v>
      </c>
      <c r="I33" s="1" t="s">
        <v>486</v>
      </c>
      <c r="J33" s="1" t="s">
        <v>487</v>
      </c>
      <c r="K33" s="1" t="s">
        <v>488</v>
      </c>
      <c r="L33" s="2"/>
      <c r="M33" s="2"/>
      <c r="N33" s="2"/>
      <c r="O33" s="2"/>
      <c r="P33" s="2"/>
      <c r="Q33" s="2"/>
      <c r="R33" s="2"/>
      <c r="S33" s="2"/>
      <c r="T33" s="2"/>
      <c r="U33" s="2"/>
      <c r="V33" s="2"/>
      <c r="W33" s="2"/>
      <c r="X33" s="2"/>
      <c r="Y33" s="2"/>
      <c r="Z33" s="2"/>
    </row>
    <row r="34" ht="15.75" customHeight="1">
      <c r="A34" s="1" t="s">
        <v>489</v>
      </c>
      <c r="B34" s="1" t="s">
        <v>490</v>
      </c>
      <c r="C34" s="1" t="s">
        <v>491</v>
      </c>
      <c r="D34" s="1" t="s">
        <v>492</v>
      </c>
      <c r="E34" s="1" t="s">
        <v>493</v>
      </c>
      <c r="F34" s="1" t="s">
        <v>494</v>
      </c>
      <c r="G34" s="1" t="s">
        <v>495</v>
      </c>
      <c r="H34" s="1" t="s">
        <v>496</v>
      </c>
      <c r="I34" s="1" t="s">
        <v>497</v>
      </c>
      <c r="J34" s="1" t="s">
        <v>498</v>
      </c>
      <c r="K34" s="1" t="s">
        <v>499</v>
      </c>
      <c r="L34" s="2"/>
      <c r="M34" s="2"/>
      <c r="N34" s="2"/>
      <c r="O34" s="2"/>
      <c r="P34" s="2"/>
      <c r="Q34" s="2"/>
      <c r="R34" s="2"/>
      <c r="S34" s="2"/>
      <c r="T34" s="2"/>
      <c r="U34" s="2"/>
      <c r="V34" s="2"/>
      <c r="W34" s="2"/>
      <c r="X34" s="2"/>
      <c r="Y34" s="2"/>
      <c r="Z34" s="2"/>
    </row>
    <row r="35" ht="15.75" customHeight="1">
      <c r="A35" s="1" t="s">
        <v>500</v>
      </c>
      <c r="B35" s="1" t="s">
        <v>310</v>
      </c>
      <c r="C35" s="1" t="s">
        <v>501</v>
      </c>
      <c r="D35" s="1" t="s">
        <v>502</v>
      </c>
      <c r="E35" s="1" t="s">
        <v>503</v>
      </c>
      <c r="F35" s="1" t="s">
        <v>365</v>
      </c>
      <c r="G35" s="1" t="s">
        <v>504</v>
      </c>
      <c r="H35" s="1" t="s">
        <v>505</v>
      </c>
      <c r="I35" s="1" t="s">
        <v>506</v>
      </c>
      <c r="J35" s="1">
        <v>0.0</v>
      </c>
      <c r="K35" s="1" t="s">
        <v>507</v>
      </c>
      <c r="L35" s="2"/>
      <c r="M35" s="2"/>
      <c r="N35" s="2"/>
      <c r="O35" s="2"/>
      <c r="P35" s="2"/>
      <c r="Q35" s="2"/>
      <c r="R35" s="2"/>
      <c r="S35" s="2"/>
      <c r="T35" s="2"/>
      <c r="U35" s="2"/>
      <c r="V35" s="2"/>
      <c r="W35" s="2"/>
      <c r="X35" s="2"/>
      <c r="Y35" s="2"/>
      <c r="Z35" s="2"/>
    </row>
    <row r="36" ht="15.75" customHeight="1">
      <c r="A36" s="1" t="s">
        <v>508</v>
      </c>
      <c r="B36" s="1" t="s">
        <v>114</v>
      </c>
      <c r="C36" s="1" t="s">
        <v>509</v>
      </c>
      <c r="D36" s="1" t="s">
        <v>510</v>
      </c>
      <c r="E36" s="1" t="s">
        <v>511</v>
      </c>
      <c r="F36" s="1" t="s">
        <v>503</v>
      </c>
      <c r="G36" s="1">
        <v>10.0</v>
      </c>
      <c r="H36" s="1" t="s">
        <v>512</v>
      </c>
      <c r="I36" s="1" t="s">
        <v>513</v>
      </c>
      <c r="J36" s="1">
        <v>0.0</v>
      </c>
      <c r="K36" s="1" t="s">
        <v>514</v>
      </c>
      <c r="L36" s="2"/>
      <c r="M36" s="2"/>
      <c r="N36" s="2"/>
      <c r="O36" s="2"/>
      <c r="P36" s="2"/>
      <c r="Q36" s="2"/>
      <c r="R36" s="2"/>
      <c r="S36" s="2"/>
      <c r="T36" s="2"/>
      <c r="U36" s="2"/>
      <c r="V36" s="2"/>
      <c r="W36" s="2"/>
      <c r="X36" s="2"/>
      <c r="Y36" s="2"/>
      <c r="Z36" s="2"/>
    </row>
    <row r="37" ht="15.75" customHeight="1">
      <c r="A37" s="1" t="s">
        <v>515</v>
      </c>
      <c r="B37" s="1" t="s">
        <v>251</v>
      </c>
      <c r="C37" s="1" t="s">
        <v>516</v>
      </c>
      <c r="D37" s="1" t="s">
        <v>517</v>
      </c>
      <c r="E37" s="1" t="s">
        <v>310</v>
      </c>
      <c r="F37" s="1" t="s">
        <v>518</v>
      </c>
      <c r="G37" s="1" t="s">
        <v>519</v>
      </c>
      <c r="H37" s="1" t="s">
        <v>331</v>
      </c>
      <c r="I37" s="1" t="s">
        <v>520</v>
      </c>
      <c r="J37" s="1">
        <v>0.0</v>
      </c>
      <c r="K37" s="1" t="s">
        <v>521</v>
      </c>
      <c r="L37" s="2"/>
      <c r="M37" s="2"/>
      <c r="N37" s="2"/>
      <c r="O37" s="2"/>
      <c r="P37" s="2"/>
      <c r="Q37" s="2"/>
      <c r="R37" s="2"/>
      <c r="S37" s="2"/>
      <c r="T37" s="2"/>
      <c r="U37" s="2"/>
      <c r="V37" s="2"/>
      <c r="W37" s="2"/>
      <c r="X37" s="2"/>
      <c r="Y37" s="2"/>
      <c r="Z37" s="2"/>
    </row>
    <row r="38" ht="15.75" customHeight="1">
      <c r="A38" s="1" t="s">
        <v>522</v>
      </c>
      <c r="B38" s="1" t="s">
        <v>523</v>
      </c>
      <c r="C38" s="1" t="s">
        <v>524</v>
      </c>
      <c r="D38" s="1" t="s">
        <v>401</v>
      </c>
      <c r="E38" s="1" t="s">
        <v>525</v>
      </c>
      <c r="F38" s="1" t="s">
        <v>377</v>
      </c>
      <c r="G38" s="1" t="s">
        <v>526</v>
      </c>
      <c r="H38" s="1" t="s">
        <v>527</v>
      </c>
      <c r="I38" s="1" t="s">
        <v>524</v>
      </c>
      <c r="J38" s="1" t="s">
        <v>528</v>
      </c>
      <c r="K38" s="1" t="s">
        <v>529</v>
      </c>
      <c r="L38" s="2"/>
      <c r="M38" s="2"/>
      <c r="N38" s="2"/>
      <c r="O38" s="2"/>
      <c r="P38" s="2"/>
      <c r="Q38" s="2"/>
      <c r="R38" s="2"/>
      <c r="S38" s="2"/>
      <c r="T38" s="2"/>
      <c r="U38" s="2"/>
      <c r="V38" s="2"/>
      <c r="W38" s="2"/>
      <c r="X38" s="2"/>
      <c r="Y38" s="2"/>
      <c r="Z38" s="2"/>
    </row>
    <row r="39" ht="15.75" customHeight="1">
      <c r="A39" s="1" t="s">
        <v>530</v>
      </c>
      <c r="B39" s="1" t="s">
        <v>531</v>
      </c>
      <c r="C39" s="1" t="s">
        <v>532</v>
      </c>
      <c r="D39" s="1" t="s">
        <v>399</v>
      </c>
      <c r="E39" s="1" t="s">
        <v>413</v>
      </c>
      <c r="F39" s="1" t="s">
        <v>179</v>
      </c>
      <c r="G39" s="1" t="s">
        <v>533</v>
      </c>
      <c r="H39" s="1" t="s">
        <v>534</v>
      </c>
      <c r="I39" s="1" t="s">
        <v>375</v>
      </c>
      <c r="J39" s="1" t="s">
        <v>535</v>
      </c>
      <c r="K39" s="1" t="s">
        <v>526</v>
      </c>
      <c r="L39" s="2"/>
      <c r="M39" s="2"/>
      <c r="N39" s="2"/>
      <c r="O39" s="2"/>
      <c r="P39" s="2"/>
      <c r="Q39" s="2"/>
      <c r="R39" s="2"/>
      <c r="S39" s="2"/>
      <c r="T39" s="2"/>
      <c r="U39" s="2"/>
      <c r="V39" s="2"/>
      <c r="W39" s="2"/>
      <c r="X39" s="2"/>
      <c r="Y39" s="2"/>
      <c r="Z39" s="2"/>
    </row>
    <row r="40" ht="15.75" customHeight="1">
      <c r="A40" s="1" t="s">
        <v>536</v>
      </c>
      <c r="B40" s="1" t="s">
        <v>529</v>
      </c>
      <c r="C40" s="1" t="s">
        <v>537</v>
      </c>
      <c r="D40" s="1" t="s">
        <v>538</v>
      </c>
      <c r="E40" s="1" t="s">
        <v>539</v>
      </c>
      <c r="F40" s="1" t="s">
        <v>540</v>
      </c>
      <c r="G40" s="1" t="s">
        <v>541</v>
      </c>
      <c r="H40" s="1" t="s">
        <v>542</v>
      </c>
      <c r="I40" s="1" t="s">
        <v>543</v>
      </c>
      <c r="J40" s="1" t="s">
        <v>544</v>
      </c>
      <c r="K40" s="1" t="s">
        <v>545</v>
      </c>
      <c r="L40" s="2"/>
      <c r="M40" s="2"/>
      <c r="N40" s="2"/>
      <c r="O40" s="2"/>
      <c r="P40" s="2"/>
      <c r="Q40" s="2"/>
      <c r="R40" s="2"/>
      <c r="S40" s="2"/>
      <c r="T40" s="2"/>
      <c r="U40" s="2"/>
      <c r="V40" s="2"/>
      <c r="W40" s="2"/>
      <c r="X40" s="2"/>
      <c r="Y40" s="2"/>
      <c r="Z40" s="2"/>
    </row>
    <row r="41" ht="15.75" customHeight="1">
      <c r="A41" s="1" t="s">
        <v>546</v>
      </c>
      <c r="B41" s="1" t="s">
        <v>183</v>
      </c>
      <c r="C41" s="1" t="s">
        <v>372</v>
      </c>
      <c r="D41" s="1" t="s">
        <v>547</v>
      </c>
      <c r="E41" s="1" t="s">
        <v>411</v>
      </c>
      <c r="F41" s="1" t="s">
        <v>548</v>
      </c>
      <c r="G41" s="1" t="s">
        <v>549</v>
      </c>
      <c r="H41" s="1" t="s">
        <v>550</v>
      </c>
      <c r="I41" s="1" t="s">
        <v>551</v>
      </c>
      <c r="J41" s="1" t="s">
        <v>552</v>
      </c>
      <c r="K41" s="1" t="s">
        <v>534</v>
      </c>
      <c r="L41" s="2"/>
      <c r="M41" s="2"/>
      <c r="N41" s="2"/>
      <c r="O41" s="2"/>
      <c r="P41" s="2"/>
      <c r="Q41" s="2"/>
      <c r="R41" s="2"/>
      <c r="S41" s="2"/>
      <c r="T41" s="2"/>
      <c r="U41" s="2"/>
      <c r="V41" s="2"/>
      <c r="W41" s="2"/>
      <c r="X41" s="2"/>
      <c r="Y41" s="2"/>
      <c r="Z41" s="2"/>
    </row>
    <row r="42" ht="15.75" customHeight="1">
      <c r="A42" s="1" t="s">
        <v>553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554</v>
      </c>
      <c r="B43" s="1" t="s">
        <v>555</v>
      </c>
      <c r="C43" s="1" t="s">
        <v>556</v>
      </c>
      <c r="D43" s="1" t="s">
        <v>557</v>
      </c>
      <c r="E43" s="1" t="s">
        <v>558</v>
      </c>
      <c r="F43" s="1" t="s">
        <v>559</v>
      </c>
      <c r="G43" s="1" t="s">
        <v>560</v>
      </c>
      <c r="H43" s="1" t="s">
        <v>561</v>
      </c>
      <c r="I43" s="1" t="s">
        <v>562</v>
      </c>
      <c r="J43" s="1" t="s">
        <v>563</v>
      </c>
      <c r="K43" s="1" t="s">
        <v>564</v>
      </c>
      <c r="L43" s="2"/>
      <c r="M43" s="2"/>
      <c r="N43" s="2"/>
      <c r="O43" s="2"/>
      <c r="P43" s="2"/>
      <c r="Q43" s="2"/>
      <c r="R43" s="2"/>
      <c r="S43" s="2"/>
      <c r="T43" s="2"/>
      <c r="U43" s="2"/>
      <c r="V43" s="2"/>
      <c r="W43" s="2"/>
      <c r="X43" s="2"/>
      <c r="Y43" s="2"/>
      <c r="Z43" s="2"/>
    </row>
    <row r="44" ht="15.75" customHeight="1">
      <c r="A44" s="1" t="s">
        <v>565</v>
      </c>
      <c r="B44" s="1" t="s">
        <v>566</v>
      </c>
      <c r="C44" s="1" t="s">
        <v>567</v>
      </c>
      <c r="D44" s="1" t="s">
        <v>568</v>
      </c>
      <c r="E44" s="1" t="s">
        <v>569</v>
      </c>
      <c r="F44" s="1" t="s">
        <v>368</v>
      </c>
      <c r="G44" s="1" t="s">
        <v>570</v>
      </c>
      <c r="H44" s="1" t="s">
        <v>571</v>
      </c>
      <c r="I44" s="1" t="s">
        <v>572</v>
      </c>
      <c r="J44" s="1" t="s">
        <v>573</v>
      </c>
      <c r="K44" s="1" t="s">
        <v>574</v>
      </c>
      <c r="L44" s="2"/>
      <c r="M44" s="2"/>
      <c r="N44" s="2"/>
      <c r="O44" s="2"/>
      <c r="P44" s="2"/>
      <c r="Q44" s="2"/>
      <c r="R44" s="2"/>
      <c r="S44" s="2"/>
      <c r="T44" s="2"/>
      <c r="U44" s="2"/>
      <c r="V44" s="2"/>
      <c r="W44" s="2"/>
      <c r="X44" s="2"/>
      <c r="Y44" s="2"/>
      <c r="Z44" s="2"/>
    </row>
    <row r="45" ht="15.75" customHeight="1">
      <c r="A45" s="1" t="s">
        <v>575</v>
      </c>
      <c r="B45" s="1" t="s">
        <v>576</v>
      </c>
      <c r="C45" s="1" t="s">
        <v>577</v>
      </c>
      <c r="D45" s="1" t="s">
        <v>578</v>
      </c>
      <c r="E45" s="1" t="s">
        <v>579</v>
      </c>
      <c r="F45" s="1" t="s">
        <v>580</v>
      </c>
      <c r="G45" s="1" t="s">
        <v>581</v>
      </c>
      <c r="H45" s="1" t="s">
        <v>582</v>
      </c>
      <c r="I45" s="1" t="s">
        <v>583</v>
      </c>
      <c r="J45" s="1" t="s">
        <v>584</v>
      </c>
      <c r="K45" s="1" t="s">
        <v>585</v>
      </c>
      <c r="L45" s="2"/>
      <c r="M45" s="2"/>
      <c r="N45" s="2"/>
      <c r="O45" s="2"/>
      <c r="P45" s="2"/>
      <c r="Q45" s="2"/>
      <c r="R45" s="2"/>
      <c r="S45" s="2"/>
      <c r="T45" s="2"/>
      <c r="U45" s="2"/>
      <c r="V45" s="2"/>
      <c r="W45" s="2"/>
      <c r="X45" s="2"/>
      <c r="Y45" s="2"/>
      <c r="Z45" s="2"/>
    </row>
    <row r="46" ht="15.75" customHeight="1">
      <c r="A46" s="1" t="s">
        <v>586</v>
      </c>
      <c r="B46" s="1" t="s">
        <v>587</v>
      </c>
      <c r="C46" s="1" t="s">
        <v>588</v>
      </c>
      <c r="D46" s="1" t="s">
        <v>589</v>
      </c>
      <c r="E46" s="1" t="s">
        <v>590</v>
      </c>
      <c r="F46" s="1" t="s">
        <v>183</v>
      </c>
      <c r="G46" s="1" t="s">
        <v>591</v>
      </c>
      <c r="H46" s="1" t="s">
        <v>592</v>
      </c>
      <c r="I46" s="1" t="s">
        <v>593</v>
      </c>
      <c r="J46" s="1" t="s">
        <v>594</v>
      </c>
      <c r="K46" s="1" t="s">
        <v>595</v>
      </c>
      <c r="L46" s="2"/>
      <c r="M46" s="2"/>
      <c r="N46" s="2"/>
      <c r="O46" s="2"/>
      <c r="P46" s="2"/>
      <c r="Q46" s="2"/>
      <c r="R46" s="2"/>
      <c r="S46" s="2"/>
      <c r="T46" s="2"/>
      <c r="U46" s="2"/>
      <c r="V46" s="2"/>
      <c r="W46" s="2"/>
      <c r="X46" s="2"/>
      <c r="Y46" s="2"/>
      <c r="Z46" s="2"/>
    </row>
    <row r="47" ht="15.75" customHeight="1">
      <c r="A47" s="1" t="s">
        <v>596</v>
      </c>
      <c r="B47" s="1" t="s">
        <v>597</v>
      </c>
      <c r="C47" s="1" t="s">
        <v>598</v>
      </c>
      <c r="D47" s="1" t="s">
        <v>599</v>
      </c>
      <c r="E47" s="1" t="s">
        <v>600</v>
      </c>
      <c r="F47" s="1" t="s">
        <v>601</v>
      </c>
      <c r="G47" s="1" t="s">
        <v>602</v>
      </c>
      <c r="H47" s="1" t="s">
        <v>603</v>
      </c>
      <c r="I47" s="1" t="s">
        <v>604</v>
      </c>
      <c r="J47" s="1" t="s">
        <v>605</v>
      </c>
      <c r="K47" s="1" t="s">
        <v>606</v>
      </c>
      <c r="L47" s="2"/>
      <c r="M47" s="2"/>
      <c r="N47" s="2"/>
      <c r="O47" s="2"/>
      <c r="P47" s="2"/>
      <c r="Q47" s="2"/>
      <c r="R47" s="2"/>
      <c r="S47" s="2"/>
      <c r="T47" s="2"/>
      <c r="U47" s="2"/>
      <c r="V47" s="2"/>
      <c r="W47" s="2"/>
      <c r="X47" s="2"/>
      <c r="Y47" s="2"/>
      <c r="Z47" s="2"/>
    </row>
    <row r="48" ht="15.75" customHeight="1">
      <c r="A48" s="1" t="s">
        <v>607</v>
      </c>
      <c r="B48" s="1" t="s">
        <v>608</v>
      </c>
      <c r="C48" s="1" t="s">
        <v>609</v>
      </c>
      <c r="D48" s="1" t="s">
        <v>610</v>
      </c>
      <c r="E48" s="1" t="s">
        <v>611</v>
      </c>
      <c r="F48" s="1" t="s">
        <v>612</v>
      </c>
      <c r="G48" s="1" t="s">
        <v>613</v>
      </c>
      <c r="H48" s="1" t="s">
        <v>614</v>
      </c>
      <c r="I48" s="1" t="s">
        <v>615</v>
      </c>
      <c r="J48" s="1" t="s">
        <v>616</v>
      </c>
      <c r="K48" s="1" t="s">
        <v>617</v>
      </c>
      <c r="L48" s="2"/>
      <c r="M48" s="2"/>
      <c r="N48" s="2"/>
      <c r="O48" s="2"/>
      <c r="P48" s="2"/>
      <c r="Q48" s="2"/>
      <c r="R48" s="2"/>
      <c r="S48" s="2"/>
      <c r="T48" s="2"/>
      <c r="U48" s="2"/>
      <c r="V48" s="2"/>
      <c r="W48" s="2"/>
      <c r="X48" s="2"/>
      <c r="Y48" s="2"/>
      <c r="Z48" s="2"/>
    </row>
    <row r="49" ht="15.75" customHeight="1">
      <c r="A49" s="1" t="s">
        <v>618</v>
      </c>
      <c r="B49" s="1" t="s">
        <v>608</v>
      </c>
      <c r="C49" s="1" t="s">
        <v>609</v>
      </c>
      <c r="D49" s="1" t="s">
        <v>610</v>
      </c>
      <c r="E49" s="1" t="s">
        <v>611</v>
      </c>
      <c r="F49" s="1" t="s">
        <v>612</v>
      </c>
      <c r="G49" s="1" t="s">
        <v>613</v>
      </c>
      <c r="H49" s="1" t="s">
        <v>614</v>
      </c>
      <c r="I49" s="1" t="s">
        <v>615</v>
      </c>
      <c r="J49" s="1" t="s">
        <v>616</v>
      </c>
      <c r="K49" s="1" t="s">
        <v>617</v>
      </c>
      <c r="L49" s="2"/>
      <c r="M49" s="2"/>
      <c r="N49" s="2"/>
      <c r="O49" s="2"/>
      <c r="P49" s="2"/>
      <c r="Q49" s="2"/>
      <c r="R49" s="2"/>
      <c r="S49" s="2"/>
      <c r="T49" s="2"/>
      <c r="U49" s="2"/>
      <c r="V49" s="2"/>
      <c r="W49" s="2"/>
      <c r="X49" s="2"/>
      <c r="Y49" s="2"/>
      <c r="Z49" s="2"/>
    </row>
    <row r="50" ht="15.75" customHeight="1">
      <c r="A50" s="1" t="s">
        <v>619</v>
      </c>
      <c r="B50" s="1" t="s">
        <v>620</v>
      </c>
      <c r="C50" s="1" t="s">
        <v>621</v>
      </c>
      <c r="D50" s="1" t="s">
        <v>622</v>
      </c>
      <c r="E50" s="1" t="s">
        <v>623</v>
      </c>
      <c r="F50" s="1" t="s">
        <v>624</v>
      </c>
      <c r="G50" s="1" t="s">
        <v>625</v>
      </c>
      <c r="H50" s="1" t="s">
        <v>626</v>
      </c>
      <c r="I50" s="1" t="s">
        <v>627</v>
      </c>
      <c r="J50" s="1" t="s">
        <v>628</v>
      </c>
      <c r="K50" s="1" t="s">
        <v>629</v>
      </c>
      <c r="L50" s="2"/>
      <c r="M50" s="2"/>
      <c r="N50" s="2"/>
      <c r="O50" s="2"/>
      <c r="P50" s="2"/>
      <c r="Q50" s="2"/>
      <c r="R50" s="2"/>
      <c r="S50" s="2"/>
      <c r="T50" s="2"/>
      <c r="U50" s="2"/>
      <c r="V50" s="2"/>
      <c r="W50" s="2"/>
      <c r="X50" s="2"/>
      <c r="Y50" s="2"/>
      <c r="Z50" s="2"/>
    </row>
    <row r="51" ht="15.75" customHeight="1">
      <c r="A51" s="1" t="s">
        <v>630</v>
      </c>
      <c r="B51" s="1" t="s">
        <v>631</v>
      </c>
      <c r="C51" s="1" t="s">
        <v>632</v>
      </c>
      <c r="D51" s="1" t="s">
        <v>633</v>
      </c>
      <c r="E51" s="1" t="s">
        <v>634</v>
      </c>
      <c r="F51" s="1" t="s">
        <v>635</v>
      </c>
      <c r="G51" s="1" t="s">
        <v>636</v>
      </c>
      <c r="H51" s="1" t="s">
        <v>637</v>
      </c>
      <c r="I51" s="1" t="s">
        <v>638</v>
      </c>
      <c r="J51" s="1" t="s">
        <v>639</v>
      </c>
      <c r="K51" s="1" t="s">
        <v>640</v>
      </c>
      <c r="L51" s="2"/>
      <c r="M51" s="2"/>
      <c r="N51" s="2"/>
      <c r="O51" s="2"/>
      <c r="P51" s="2"/>
      <c r="Q51" s="2"/>
      <c r="R51" s="2"/>
      <c r="S51" s="2"/>
      <c r="T51" s="2"/>
      <c r="U51" s="2"/>
      <c r="V51" s="2"/>
      <c r="W51" s="2"/>
      <c r="X51" s="2"/>
      <c r="Y51" s="2"/>
      <c r="Z51" s="2"/>
    </row>
    <row r="52" ht="15.75" customHeight="1">
      <c r="A52" s="1" t="s">
        <v>641</v>
      </c>
      <c r="B52" s="1" t="s">
        <v>642</v>
      </c>
      <c r="C52" s="1" t="s">
        <v>643</v>
      </c>
      <c r="D52" s="1" t="s">
        <v>644</v>
      </c>
      <c r="E52" s="1" t="s">
        <v>645</v>
      </c>
      <c r="F52" s="1" t="s">
        <v>646</v>
      </c>
      <c r="G52" s="1" t="s">
        <v>647</v>
      </c>
      <c r="H52" s="1" t="s">
        <v>648</v>
      </c>
      <c r="I52" s="1" t="s">
        <v>649</v>
      </c>
      <c r="J52" s="1" t="s">
        <v>650</v>
      </c>
      <c r="K52" s="1" t="s">
        <v>651</v>
      </c>
      <c r="L52" s="2"/>
      <c r="M52" s="2"/>
      <c r="N52" s="2"/>
      <c r="O52" s="2"/>
      <c r="P52" s="2"/>
      <c r="Q52" s="2"/>
      <c r="R52" s="2"/>
      <c r="S52" s="2"/>
      <c r="T52" s="2"/>
      <c r="U52" s="2"/>
      <c r="V52" s="2"/>
      <c r="W52" s="2"/>
      <c r="X52" s="2"/>
      <c r="Y52" s="2"/>
      <c r="Z52" s="2"/>
    </row>
    <row r="53" ht="15.75" customHeight="1">
      <c r="A53" s="1" t="s">
        <v>652</v>
      </c>
      <c r="B53" s="1" t="s">
        <v>653</v>
      </c>
      <c r="C53" s="1" t="s">
        <v>654</v>
      </c>
      <c r="D53" s="1" t="s">
        <v>655</v>
      </c>
      <c r="E53" s="1" t="s">
        <v>656</v>
      </c>
      <c r="F53" s="1" t="s">
        <v>657</v>
      </c>
      <c r="G53" s="1" t="s">
        <v>658</v>
      </c>
      <c r="H53" s="1" t="s">
        <v>659</v>
      </c>
      <c r="I53" s="1" t="s">
        <v>660</v>
      </c>
      <c r="J53" s="1" t="s">
        <v>661</v>
      </c>
      <c r="K53" s="1" t="s">
        <v>662</v>
      </c>
      <c r="L53" s="2"/>
      <c r="M53" s="2"/>
      <c r="N53" s="2"/>
      <c r="O53" s="2"/>
      <c r="P53" s="2"/>
      <c r="Q53" s="2"/>
      <c r="R53" s="2"/>
      <c r="S53" s="2"/>
      <c r="T53" s="2"/>
      <c r="U53" s="2"/>
      <c r="V53" s="2"/>
      <c r="W53" s="2"/>
      <c r="X53" s="2"/>
      <c r="Y53" s="2"/>
      <c r="Z53" s="2"/>
    </row>
    <row r="54" ht="15.75" customHeight="1">
      <c r="A54" s="1" t="s">
        <v>663</v>
      </c>
      <c r="B54" s="1" t="s">
        <v>664</v>
      </c>
      <c r="C54" s="1" t="s">
        <v>665</v>
      </c>
      <c r="D54" s="1" t="s">
        <v>666</v>
      </c>
      <c r="E54" s="1" t="s">
        <v>667</v>
      </c>
      <c r="F54" s="1" t="s">
        <v>668</v>
      </c>
      <c r="G54" s="1" t="s">
        <v>669</v>
      </c>
      <c r="H54" s="1" t="s">
        <v>670</v>
      </c>
      <c r="I54" s="1" t="s">
        <v>671</v>
      </c>
      <c r="J54" s="1" t="s">
        <v>672</v>
      </c>
      <c r="K54" s="1" t="s">
        <v>413</v>
      </c>
      <c r="L54" s="2"/>
      <c r="M54" s="2"/>
      <c r="N54" s="2"/>
      <c r="O54" s="2"/>
      <c r="P54" s="2"/>
      <c r="Q54" s="2"/>
      <c r="R54" s="2"/>
      <c r="S54" s="2"/>
      <c r="T54" s="2"/>
      <c r="U54" s="2"/>
      <c r="V54" s="2"/>
      <c r="W54" s="2"/>
      <c r="X54" s="2"/>
      <c r="Y54" s="2"/>
      <c r="Z54" s="2"/>
    </row>
    <row r="55" ht="15.75" customHeight="1">
      <c r="A55" s="1" t="s">
        <v>673</v>
      </c>
      <c r="B55" s="1" t="s">
        <v>674</v>
      </c>
      <c r="C55" s="1" t="s">
        <v>675</v>
      </c>
      <c r="D55" s="1" t="s">
        <v>676</v>
      </c>
      <c r="E55" s="1" t="s">
        <v>677</v>
      </c>
      <c r="F55" s="1">
        <v>0.0</v>
      </c>
      <c r="G55" s="1" t="s">
        <v>678</v>
      </c>
      <c r="H55" s="1" t="s">
        <v>679</v>
      </c>
      <c r="I55" s="1" t="s">
        <v>680</v>
      </c>
      <c r="J55" s="1" t="s">
        <v>681</v>
      </c>
      <c r="K55" s="1" t="s">
        <v>682</v>
      </c>
      <c r="L55" s="2"/>
      <c r="M55" s="2"/>
      <c r="N55" s="2"/>
      <c r="O55" s="2"/>
      <c r="P55" s="2"/>
      <c r="Q55" s="2"/>
      <c r="R55" s="2"/>
      <c r="S55" s="2"/>
      <c r="T55" s="2"/>
      <c r="U55" s="2"/>
      <c r="V55" s="2"/>
      <c r="W55" s="2"/>
      <c r="X55" s="2"/>
      <c r="Y55" s="2"/>
      <c r="Z55" s="2"/>
    </row>
    <row r="56" ht="15.75" customHeight="1">
      <c r="A56" s="1" t="s">
        <v>683</v>
      </c>
      <c r="B56" s="1" t="s">
        <v>684</v>
      </c>
      <c r="C56" s="1" t="s">
        <v>685</v>
      </c>
      <c r="D56" s="1" t="s">
        <v>686</v>
      </c>
      <c r="E56" s="1" t="s">
        <v>687</v>
      </c>
      <c r="F56" s="1" t="s">
        <v>688</v>
      </c>
      <c r="G56" s="1" t="s">
        <v>689</v>
      </c>
      <c r="H56" s="1" t="s">
        <v>690</v>
      </c>
      <c r="I56" s="1" t="s">
        <v>691</v>
      </c>
      <c r="J56" s="1" t="s">
        <v>692</v>
      </c>
      <c r="K56" s="1" t="s">
        <v>693</v>
      </c>
      <c r="L56" s="2"/>
      <c r="M56" s="2"/>
      <c r="N56" s="2"/>
      <c r="O56" s="2"/>
      <c r="P56" s="2"/>
      <c r="Q56" s="2"/>
      <c r="R56" s="2"/>
      <c r="S56" s="2"/>
      <c r="T56" s="2"/>
      <c r="U56" s="2"/>
      <c r="V56" s="2"/>
      <c r="W56" s="2"/>
      <c r="X56" s="2"/>
      <c r="Y56" s="2"/>
      <c r="Z56" s="2"/>
    </row>
    <row r="57" ht="15.75" customHeight="1">
      <c r="A57" s="1" t="s">
        <v>694</v>
      </c>
      <c r="B57" s="1">
        <v>-54.0</v>
      </c>
      <c r="C57" s="1" t="s">
        <v>695</v>
      </c>
      <c r="D57" s="1" t="s">
        <v>696</v>
      </c>
      <c r="E57" s="1" t="s">
        <v>697</v>
      </c>
      <c r="F57" s="1" t="s">
        <v>698</v>
      </c>
      <c r="G57" s="1" t="s">
        <v>699</v>
      </c>
      <c r="H57" s="1" t="s">
        <v>700</v>
      </c>
      <c r="I57" s="1" t="s">
        <v>701</v>
      </c>
      <c r="J57" s="1" t="s">
        <v>702</v>
      </c>
      <c r="K57" s="1" t="s">
        <v>703</v>
      </c>
      <c r="L57" s="2"/>
      <c r="M57" s="2"/>
      <c r="N57" s="2"/>
      <c r="O57" s="2"/>
      <c r="P57" s="2"/>
      <c r="Q57" s="2"/>
      <c r="R57" s="2"/>
      <c r="S57" s="2"/>
      <c r="T57" s="2"/>
      <c r="U57" s="2"/>
      <c r="V57" s="2"/>
      <c r="W57" s="2"/>
      <c r="X57" s="2"/>
      <c r="Y57" s="2"/>
      <c r="Z57" s="2"/>
    </row>
    <row r="58" ht="15.75" customHeight="1">
      <c r="A58" s="1" t="s">
        <v>704</v>
      </c>
      <c r="B58" s="1" t="s">
        <v>705</v>
      </c>
      <c r="C58" s="1" t="s">
        <v>706</v>
      </c>
      <c r="D58" s="1" t="s">
        <v>707</v>
      </c>
      <c r="E58" s="1" t="s">
        <v>708</v>
      </c>
      <c r="F58" s="1" t="s">
        <v>709</v>
      </c>
      <c r="G58" s="1" t="s">
        <v>710</v>
      </c>
      <c r="H58" s="1" t="s">
        <v>711</v>
      </c>
      <c r="I58" s="1" t="s">
        <v>712</v>
      </c>
      <c r="J58" s="1" t="s">
        <v>713</v>
      </c>
      <c r="K58" s="1" t="s">
        <v>714</v>
      </c>
      <c r="L58" s="2"/>
      <c r="M58" s="2"/>
      <c r="N58" s="2"/>
      <c r="O58" s="2"/>
      <c r="P58" s="2"/>
      <c r="Q58" s="2"/>
      <c r="R58" s="2"/>
      <c r="S58" s="2"/>
      <c r="T58" s="2"/>
      <c r="U58" s="2"/>
      <c r="V58" s="2"/>
      <c r="W58" s="2"/>
      <c r="X58" s="2"/>
      <c r="Y58" s="2"/>
      <c r="Z58" s="2"/>
    </row>
    <row r="59" ht="15.75" customHeight="1">
      <c r="A59" s="1" t="s">
        <v>715</v>
      </c>
      <c r="B59" s="1" t="s">
        <v>716</v>
      </c>
      <c r="C59" s="1">
        <v>0.0</v>
      </c>
      <c r="D59" s="1" t="s">
        <v>717</v>
      </c>
      <c r="E59" s="1" t="s">
        <v>718</v>
      </c>
      <c r="F59" s="1" t="s">
        <v>719</v>
      </c>
      <c r="G59" s="1" t="s">
        <v>720</v>
      </c>
      <c r="H59" s="1" t="s">
        <v>721</v>
      </c>
      <c r="I59" s="1" t="s">
        <v>722</v>
      </c>
      <c r="J59" s="1" t="s">
        <v>723</v>
      </c>
      <c r="K59" s="1" t="s">
        <v>724</v>
      </c>
      <c r="L59" s="2"/>
      <c r="M59" s="2"/>
      <c r="N59" s="2"/>
      <c r="O59" s="2"/>
      <c r="P59" s="2"/>
      <c r="Q59" s="2"/>
      <c r="R59" s="2"/>
      <c r="S59" s="2"/>
      <c r="T59" s="2"/>
      <c r="U59" s="2"/>
      <c r="V59" s="2"/>
      <c r="W59" s="2"/>
      <c r="X59" s="2"/>
      <c r="Y59" s="2"/>
      <c r="Z59" s="2"/>
    </row>
    <row r="60" ht="15.75" customHeight="1">
      <c r="A60" s="1" t="s">
        <v>725</v>
      </c>
      <c r="B60" s="1" t="s">
        <v>726</v>
      </c>
      <c r="C60" s="1" t="s">
        <v>727</v>
      </c>
      <c r="D60" s="1" t="s">
        <v>728</v>
      </c>
      <c r="E60" s="1" t="s">
        <v>374</v>
      </c>
      <c r="F60" s="1" t="s">
        <v>729</v>
      </c>
      <c r="G60" s="1" t="s">
        <v>730</v>
      </c>
      <c r="H60" s="1" t="s">
        <v>731</v>
      </c>
      <c r="I60" s="1" t="s">
        <v>732</v>
      </c>
      <c r="J60" s="1" t="s">
        <v>733</v>
      </c>
      <c r="K60" s="1" t="s">
        <v>734</v>
      </c>
      <c r="L60" s="2"/>
      <c r="M60" s="2"/>
      <c r="N60" s="2"/>
      <c r="O60" s="2"/>
      <c r="P60" s="2"/>
      <c r="Q60" s="2"/>
      <c r="R60" s="2"/>
      <c r="S60" s="2"/>
      <c r="T60" s="2"/>
      <c r="U60" s="2"/>
      <c r="V60" s="2"/>
      <c r="W60" s="2"/>
      <c r="X60" s="2"/>
      <c r="Y60" s="2"/>
      <c r="Z60" s="2"/>
    </row>
    <row r="61" ht="15.75" customHeight="1">
      <c r="A61" s="1" t="s">
        <v>735</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736</v>
      </c>
      <c r="B62" s="1" t="s">
        <v>737</v>
      </c>
      <c r="C62" s="1" t="s">
        <v>738</v>
      </c>
      <c r="D62" s="1" t="s">
        <v>739</v>
      </c>
      <c r="E62" s="1" t="s">
        <v>740</v>
      </c>
      <c r="F62" s="1" t="s">
        <v>741</v>
      </c>
      <c r="G62" s="1" t="s">
        <v>742</v>
      </c>
      <c r="H62" s="1" t="s">
        <v>743</v>
      </c>
      <c r="I62" s="1" t="s">
        <v>744</v>
      </c>
      <c r="J62" s="1">
        <v>48.0</v>
      </c>
      <c r="K62" s="1" t="s">
        <v>745</v>
      </c>
      <c r="L62" s="2"/>
      <c r="M62" s="2"/>
      <c r="N62" s="2"/>
      <c r="O62" s="2"/>
      <c r="P62" s="2"/>
      <c r="Q62" s="2"/>
      <c r="R62" s="2"/>
      <c r="S62" s="2"/>
      <c r="T62" s="2"/>
      <c r="U62" s="2"/>
      <c r="V62" s="2"/>
      <c r="W62" s="2"/>
      <c r="X62" s="2"/>
      <c r="Y62" s="2"/>
      <c r="Z62" s="2"/>
    </row>
    <row r="63" ht="15.75" customHeight="1">
      <c r="A63" s="1" t="s">
        <v>746</v>
      </c>
      <c r="B63" s="1" t="s">
        <v>747</v>
      </c>
      <c r="C63" s="1" t="s">
        <v>748</v>
      </c>
      <c r="D63" s="1" t="s">
        <v>749</v>
      </c>
      <c r="E63" s="1" t="s">
        <v>750</v>
      </c>
      <c r="F63" s="1">
        <v>6.0</v>
      </c>
      <c r="G63" s="1" t="s">
        <v>751</v>
      </c>
      <c r="H63" s="1" t="s">
        <v>752</v>
      </c>
      <c r="I63" s="1" t="s">
        <v>753</v>
      </c>
      <c r="J63" s="1" t="s">
        <v>754</v>
      </c>
      <c r="K63" s="1" t="s">
        <v>755</v>
      </c>
      <c r="L63" s="2"/>
      <c r="M63" s="2"/>
      <c r="N63" s="2"/>
      <c r="O63" s="2"/>
      <c r="P63" s="2"/>
      <c r="Q63" s="2"/>
      <c r="R63" s="2"/>
      <c r="S63" s="2"/>
      <c r="T63" s="2"/>
      <c r="U63" s="2"/>
      <c r="V63" s="2"/>
      <c r="W63" s="2"/>
      <c r="X63" s="2"/>
      <c r="Y63" s="2"/>
      <c r="Z63" s="2"/>
    </row>
    <row r="64" ht="15.75" customHeight="1">
      <c r="A64" s="1" t="s">
        <v>756</v>
      </c>
      <c r="B64" s="1" t="s">
        <v>757</v>
      </c>
      <c r="C64" s="1">
        <v>40.0</v>
      </c>
      <c r="D64" s="1" t="s">
        <v>758</v>
      </c>
      <c r="E64" s="1" t="s">
        <v>759</v>
      </c>
      <c r="F64" s="1" t="s">
        <v>760</v>
      </c>
      <c r="G64" s="1" t="s">
        <v>761</v>
      </c>
      <c r="H64" s="1" t="s">
        <v>762</v>
      </c>
      <c r="I64" s="1" t="s">
        <v>763</v>
      </c>
      <c r="J64" s="1" t="s">
        <v>764</v>
      </c>
      <c r="K64" s="1" t="s">
        <v>765</v>
      </c>
      <c r="L64" s="2"/>
      <c r="M64" s="2"/>
      <c r="N64" s="2"/>
      <c r="O64" s="2"/>
      <c r="P64" s="2"/>
      <c r="Q64" s="2"/>
      <c r="R64" s="2"/>
      <c r="S64" s="2"/>
      <c r="T64" s="2"/>
      <c r="U64" s="2"/>
      <c r="V64" s="2"/>
      <c r="W64" s="2"/>
      <c r="X64" s="2"/>
      <c r="Y64" s="2"/>
      <c r="Z64" s="2"/>
    </row>
    <row r="65" ht="15.75" customHeight="1">
      <c r="A65" s="1" t="s">
        <v>766</v>
      </c>
      <c r="B65" s="1" t="s">
        <v>767</v>
      </c>
      <c r="C65" s="1" t="s">
        <v>768</v>
      </c>
      <c r="D65" s="1" t="s">
        <v>769</v>
      </c>
      <c r="E65" s="1" t="s">
        <v>770</v>
      </c>
      <c r="F65" s="1" t="s">
        <v>771</v>
      </c>
      <c r="G65" s="1" t="s">
        <v>531</v>
      </c>
      <c r="H65" s="1">
        <v>7.0</v>
      </c>
      <c r="I65" s="1" t="s">
        <v>772</v>
      </c>
      <c r="J65" s="1" t="s">
        <v>773</v>
      </c>
      <c r="K65" s="1" t="s">
        <v>774</v>
      </c>
      <c r="L65" s="2"/>
      <c r="M65" s="2"/>
      <c r="N65" s="2"/>
      <c r="O65" s="2"/>
      <c r="P65" s="2"/>
      <c r="Q65" s="2"/>
      <c r="R65" s="2"/>
      <c r="S65" s="2"/>
      <c r="T65" s="2"/>
      <c r="U65" s="2"/>
      <c r="V65" s="2"/>
      <c r="W65" s="2"/>
      <c r="X65" s="2"/>
      <c r="Y65" s="2"/>
      <c r="Z65" s="2"/>
    </row>
    <row r="66" ht="15.75" customHeight="1">
      <c r="A66" s="1" t="s">
        <v>775</v>
      </c>
      <c r="B66" s="1" t="s">
        <v>776</v>
      </c>
      <c r="C66" s="1" t="s">
        <v>777</v>
      </c>
      <c r="D66" s="1" t="s">
        <v>778</v>
      </c>
      <c r="E66" s="1" t="s">
        <v>779</v>
      </c>
      <c r="F66" s="1" t="s">
        <v>780</v>
      </c>
      <c r="G66" s="1" t="s">
        <v>781</v>
      </c>
      <c r="H66" s="1" t="s">
        <v>782</v>
      </c>
      <c r="I66" s="1" t="s">
        <v>783</v>
      </c>
      <c r="J66" s="1" t="s">
        <v>784</v>
      </c>
      <c r="K66" s="1" t="s">
        <v>785</v>
      </c>
      <c r="L66" s="2"/>
      <c r="M66" s="2"/>
      <c r="N66" s="2"/>
      <c r="O66" s="2"/>
      <c r="P66" s="2"/>
      <c r="Q66" s="2"/>
      <c r="R66" s="2"/>
      <c r="S66" s="2"/>
      <c r="T66" s="2"/>
      <c r="U66" s="2"/>
      <c r="V66" s="2"/>
      <c r="W66" s="2"/>
      <c r="X66" s="2"/>
      <c r="Y66" s="2"/>
      <c r="Z66" s="2"/>
    </row>
    <row r="67" ht="15.75" customHeight="1">
      <c r="A67" s="1" t="s">
        <v>786</v>
      </c>
      <c r="B67" s="1" t="s">
        <v>787</v>
      </c>
      <c r="C67" s="1" t="s">
        <v>788</v>
      </c>
      <c r="D67" s="1" t="s">
        <v>789</v>
      </c>
      <c r="E67" s="1" t="s">
        <v>790</v>
      </c>
      <c r="F67" s="1" t="s">
        <v>791</v>
      </c>
      <c r="G67" s="1" t="s">
        <v>792</v>
      </c>
      <c r="H67" s="1" t="s">
        <v>793</v>
      </c>
      <c r="I67" s="1" t="s">
        <v>794</v>
      </c>
      <c r="J67" s="1" t="s">
        <v>795</v>
      </c>
      <c r="K67" s="1" t="s">
        <v>796</v>
      </c>
      <c r="L67" s="2"/>
      <c r="M67" s="2"/>
      <c r="N67" s="2"/>
      <c r="O67" s="2"/>
      <c r="P67" s="2"/>
      <c r="Q67" s="2"/>
      <c r="R67" s="2"/>
      <c r="S67" s="2"/>
      <c r="T67" s="2"/>
      <c r="U67" s="2"/>
      <c r="V67" s="2"/>
      <c r="W67" s="2"/>
      <c r="X67" s="2"/>
      <c r="Y67" s="2"/>
      <c r="Z67" s="2"/>
    </row>
    <row r="68" ht="15.75" customHeight="1">
      <c r="A68" s="1" t="s">
        <v>797</v>
      </c>
      <c r="B68" s="1" t="s">
        <v>798</v>
      </c>
      <c r="C68" s="1" t="s">
        <v>788</v>
      </c>
      <c r="D68" s="1" t="s">
        <v>789</v>
      </c>
      <c r="E68" s="1" t="s">
        <v>790</v>
      </c>
      <c r="F68" s="1" t="s">
        <v>791</v>
      </c>
      <c r="G68" s="1" t="s">
        <v>792</v>
      </c>
      <c r="H68" s="1" t="s">
        <v>793</v>
      </c>
      <c r="I68" s="1" t="s">
        <v>794</v>
      </c>
      <c r="J68" s="1" t="s">
        <v>795</v>
      </c>
      <c r="K68" s="1" t="s">
        <v>796</v>
      </c>
      <c r="L68" s="2"/>
      <c r="M68" s="2"/>
      <c r="N68" s="2"/>
      <c r="O68" s="2"/>
      <c r="P68" s="2"/>
      <c r="Q68" s="2"/>
      <c r="R68" s="2"/>
      <c r="S68" s="2"/>
      <c r="T68" s="2"/>
      <c r="U68" s="2"/>
      <c r="V68" s="2"/>
      <c r="W68" s="2"/>
      <c r="X68" s="2"/>
      <c r="Y68" s="2"/>
      <c r="Z68" s="2"/>
    </row>
    <row r="69" ht="15.75" customHeight="1">
      <c r="A69" s="1" t="s">
        <v>799</v>
      </c>
      <c r="B69" s="1" t="s">
        <v>800</v>
      </c>
      <c r="C69" s="1" t="s">
        <v>801</v>
      </c>
      <c r="D69" s="1" t="s">
        <v>802</v>
      </c>
      <c r="E69" s="1" t="s">
        <v>803</v>
      </c>
      <c r="F69" s="1" t="s">
        <v>804</v>
      </c>
      <c r="G69" s="1" t="s">
        <v>805</v>
      </c>
      <c r="H69" s="1" t="s">
        <v>806</v>
      </c>
      <c r="I69" s="1" t="s">
        <v>807</v>
      </c>
      <c r="J69" s="1" t="s">
        <v>808</v>
      </c>
      <c r="K69" s="1" t="s">
        <v>809</v>
      </c>
      <c r="L69" s="2"/>
      <c r="M69" s="2"/>
      <c r="N69" s="2"/>
      <c r="O69" s="2"/>
      <c r="P69" s="2"/>
      <c r="Q69" s="2"/>
      <c r="R69" s="2"/>
      <c r="S69" s="2"/>
      <c r="T69" s="2"/>
      <c r="U69" s="2"/>
      <c r="V69" s="2"/>
      <c r="W69" s="2"/>
      <c r="X69" s="2"/>
      <c r="Y69" s="2"/>
      <c r="Z69" s="2"/>
    </row>
    <row r="70" ht="15.75" customHeight="1">
      <c r="A70" s="1" t="s">
        <v>810</v>
      </c>
      <c r="B70" s="1" t="s">
        <v>811</v>
      </c>
      <c r="C70" s="1" t="s">
        <v>812</v>
      </c>
      <c r="D70" s="1" t="s">
        <v>813</v>
      </c>
      <c r="E70" s="1" t="s">
        <v>814</v>
      </c>
      <c r="F70" s="1" t="s">
        <v>815</v>
      </c>
      <c r="G70" s="1" t="s">
        <v>816</v>
      </c>
      <c r="H70" s="1" t="s">
        <v>817</v>
      </c>
      <c r="I70" s="1" t="s">
        <v>818</v>
      </c>
      <c r="J70" s="1" t="s">
        <v>819</v>
      </c>
      <c r="K70" s="1" t="s">
        <v>820</v>
      </c>
      <c r="L70" s="2"/>
      <c r="M70" s="2"/>
      <c r="N70" s="2"/>
      <c r="O70" s="2"/>
      <c r="P70" s="2"/>
      <c r="Q70" s="2"/>
      <c r="R70" s="2"/>
      <c r="S70" s="2"/>
      <c r="T70" s="2"/>
      <c r="U70" s="2"/>
      <c r="V70" s="2"/>
      <c r="W70" s="2"/>
      <c r="X70" s="2"/>
      <c r="Y70" s="2"/>
      <c r="Z70" s="2"/>
    </row>
    <row r="71" ht="15.75" customHeight="1">
      <c r="A71" s="1" t="s">
        <v>821</v>
      </c>
      <c r="B71" s="1" t="s">
        <v>822</v>
      </c>
      <c r="C71" s="1" t="s">
        <v>823</v>
      </c>
      <c r="D71" s="1" t="s">
        <v>824</v>
      </c>
      <c r="E71" s="1" t="s">
        <v>825</v>
      </c>
      <c r="F71" s="1" t="s">
        <v>826</v>
      </c>
      <c r="G71" s="1" t="s">
        <v>827</v>
      </c>
      <c r="H71" s="1" t="s">
        <v>828</v>
      </c>
      <c r="I71" s="1" t="s">
        <v>829</v>
      </c>
      <c r="J71" s="1" t="s">
        <v>830</v>
      </c>
      <c r="K71" s="1" t="s">
        <v>831</v>
      </c>
      <c r="L71" s="2"/>
      <c r="M71" s="2"/>
      <c r="N71" s="2"/>
      <c r="O71" s="2"/>
      <c r="P71" s="2"/>
      <c r="Q71" s="2"/>
      <c r="R71" s="2"/>
      <c r="S71" s="2"/>
      <c r="T71" s="2"/>
      <c r="U71" s="2"/>
      <c r="V71" s="2"/>
      <c r="W71" s="2"/>
      <c r="X71" s="2"/>
      <c r="Y71" s="2"/>
      <c r="Z71" s="2"/>
    </row>
    <row r="72" ht="15.75" customHeight="1">
      <c r="A72" s="1" t="s">
        <v>832</v>
      </c>
      <c r="B72" s="1" t="s">
        <v>833</v>
      </c>
      <c r="C72" s="1" t="s">
        <v>834</v>
      </c>
      <c r="D72" s="1" t="s">
        <v>835</v>
      </c>
      <c r="E72" s="1" t="s">
        <v>836</v>
      </c>
      <c r="F72" s="1" t="s">
        <v>837</v>
      </c>
      <c r="G72" s="1" t="s">
        <v>838</v>
      </c>
      <c r="H72" s="1" t="s">
        <v>839</v>
      </c>
      <c r="I72" s="1" t="s">
        <v>840</v>
      </c>
      <c r="J72" s="1" t="s">
        <v>841</v>
      </c>
      <c r="K72" s="1" t="s">
        <v>842</v>
      </c>
      <c r="L72" s="2"/>
      <c r="M72" s="2"/>
      <c r="N72" s="2"/>
      <c r="O72" s="2"/>
      <c r="P72" s="2"/>
      <c r="Q72" s="2"/>
      <c r="R72" s="2"/>
      <c r="S72" s="2"/>
      <c r="T72" s="2"/>
      <c r="U72" s="2"/>
      <c r="V72" s="2"/>
      <c r="W72" s="2"/>
      <c r="X72" s="2"/>
      <c r="Y72" s="2"/>
      <c r="Z72" s="2"/>
    </row>
    <row r="73" ht="15.75" customHeight="1">
      <c r="A73" s="1" t="s">
        <v>843</v>
      </c>
      <c r="B73" s="1" t="s">
        <v>844</v>
      </c>
      <c r="C73" s="1" t="s">
        <v>845</v>
      </c>
      <c r="D73" s="1" t="s">
        <v>568</v>
      </c>
      <c r="E73" s="1" t="s">
        <v>846</v>
      </c>
      <c r="F73" s="1" t="s">
        <v>847</v>
      </c>
      <c r="G73" s="1" t="s">
        <v>848</v>
      </c>
      <c r="H73" s="1" t="s">
        <v>849</v>
      </c>
      <c r="I73" s="1" t="s">
        <v>850</v>
      </c>
      <c r="J73" s="1" t="s">
        <v>851</v>
      </c>
      <c r="K73" s="1" t="s">
        <v>852</v>
      </c>
      <c r="L73" s="2"/>
      <c r="M73" s="2"/>
      <c r="N73" s="2"/>
      <c r="O73" s="2"/>
      <c r="P73" s="2"/>
      <c r="Q73" s="2"/>
      <c r="R73" s="2"/>
      <c r="S73" s="2"/>
      <c r="T73" s="2"/>
      <c r="U73" s="2"/>
      <c r="V73" s="2"/>
      <c r="W73" s="2"/>
      <c r="X73" s="2"/>
      <c r="Y73" s="2"/>
      <c r="Z73" s="2"/>
    </row>
    <row r="74" ht="15.75" customHeight="1">
      <c r="A74" s="1" t="s">
        <v>853</v>
      </c>
      <c r="B74" s="1" t="s">
        <v>854</v>
      </c>
      <c r="C74" s="1" t="s">
        <v>855</v>
      </c>
      <c r="D74" s="1" t="s">
        <v>856</v>
      </c>
      <c r="E74" s="1" t="s">
        <v>857</v>
      </c>
      <c r="F74" s="1" t="s">
        <v>858</v>
      </c>
      <c r="G74" s="1" t="s">
        <v>859</v>
      </c>
      <c r="H74" s="1" t="s">
        <v>860</v>
      </c>
      <c r="I74" s="1" t="s">
        <v>861</v>
      </c>
      <c r="J74" s="1" t="s">
        <v>862</v>
      </c>
      <c r="K74" s="1" t="s">
        <v>863</v>
      </c>
      <c r="L74" s="2"/>
      <c r="M74" s="2"/>
      <c r="N74" s="2"/>
      <c r="O74" s="2"/>
      <c r="P74" s="2"/>
      <c r="Q74" s="2"/>
      <c r="R74" s="2"/>
      <c r="S74" s="2"/>
      <c r="T74" s="2"/>
      <c r="U74" s="2"/>
      <c r="V74" s="2"/>
      <c r="W74" s="2"/>
      <c r="X74" s="2"/>
      <c r="Y74" s="2"/>
      <c r="Z74" s="2"/>
    </row>
    <row r="75" ht="15.75" customHeight="1">
      <c r="A75" s="1" t="s">
        <v>864</v>
      </c>
      <c r="B75" s="1" t="s">
        <v>865</v>
      </c>
      <c r="C75" s="1" t="s">
        <v>866</v>
      </c>
      <c r="D75" s="1" t="s">
        <v>867</v>
      </c>
      <c r="E75" s="1" t="s">
        <v>868</v>
      </c>
      <c r="F75" s="1" t="s">
        <v>869</v>
      </c>
      <c r="G75" s="1" t="s">
        <v>870</v>
      </c>
      <c r="H75" s="1" t="s">
        <v>871</v>
      </c>
      <c r="I75" s="1" t="s">
        <v>872</v>
      </c>
      <c r="J75" s="1" t="s">
        <v>873</v>
      </c>
      <c r="K75" s="1" t="s">
        <v>874</v>
      </c>
      <c r="L75" s="2"/>
      <c r="M75" s="2"/>
      <c r="N75" s="2"/>
      <c r="O75" s="2"/>
      <c r="P75" s="2"/>
      <c r="Q75" s="2"/>
      <c r="R75" s="2"/>
      <c r="S75" s="2"/>
      <c r="T75" s="2"/>
      <c r="U75" s="2"/>
      <c r="V75" s="2"/>
      <c r="W75" s="2"/>
      <c r="X75" s="2"/>
      <c r="Y75" s="2"/>
      <c r="Z75" s="2"/>
    </row>
    <row r="76" ht="15.75" customHeight="1">
      <c r="A76" s="1" t="s">
        <v>875</v>
      </c>
      <c r="B76" s="1" t="s">
        <v>876</v>
      </c>
      <c r="C76" s="1" t="s">
        <v>877</v>
      </c>
      <c r="D76" s="1" t="s">
        <v>878</v>
      </c>
      <c r="E76" s="1" t="s">
        <v>879</v>
      </c>
      <c r="F76" s="1" t="s">
        <v>880</v>
      </c>
      <c r="G76" s="1" t="s">
        <v>881</v>
      </c>
      <c r="H76" s="1" t="s">
        <v>882</v>
      </c>
      <c r="I76" s="1" t="s">
        <v>883</v>
      </c>
      <c r="J76" s="1" t="s">
        <v>884</v>
      </c>
      <c r="K76" s="1" t="s">
        <v>885</v>
      </c>
      <c r="L76" s="2"/>
      <c r="M76" s="2"/>
      <c r="N76" s="2"/>
      <c r="O76" s="2"/>
      <c r="P76" s="2"/>
      <c r="Q76" s="2"/>
      <c r="R76" s="2"/>
      <c r="S76" s="2"/>
      <c r="T76" s="2"/>
      <c r="U76" s="2"/>
      <c r="V76" s="2"/>
      <c r="W76" s="2"/>
      <c r="X76" s="2"/>
      <c r="Y76" s="2"/>
      <c r="Z76" s="2"/>
    </row>
    <row r="77" ht="15.75" customHeight="1">
      <c r="A77" s="1" t="s">
        <v>886</v>
      </c>
      <c r="B77" s="1" t="s">
        <v>887</v>
      </c>
      <c r="C77" s="1" t="s">
        <v>888</v>
      </c>
      <c r="D77" s="1" t="s">
        <v>889</v>
      </c>
      <c r="E77" s="1" t="s">
        <v>890</v>
      </c>
      <c r="F77" s="1" t="s">
        <v>891</v>
      </c>
      <c r="G77" s="1" t="s">
        <v>892</v>
      </c>
      <c r="H77" s="1" t="s">
        <v>893</v>
      </c>
      <c r="I77" s="1" t="s">
        <v>894</v>
      </c>
      <c r="J77" s="1" t="s">
        <v>895</v>
      </c>
      <c r="K77" s="1" t="s">
        <v>896</v>
      </c>
      <c r="L77" s="2"/>
      <c r="M77" s="2"/>
      <c r="N77" s="2"/>
      <c r="O77" s="2"/>
      <c r="P77" s="2"/>
      <c r="Q77" s="2"/>
      <c r="R77" s="2"/>
      <c r="S77" s="2"/>
      <c r="T77" s="2"/>
      <c r="U77" s="2"/>
      <c r="V77" s="2"/>
      <c r="W77" s="2"/>
      <c r="X77" s="2"/>
      <c r="Y77" s="2"/>
      <c r="Z77" s="2"/>
    </row>
    <row r="78" ht="15.75" customHeight="1">
      <c r="A78" s="1" t="s">
        <v>897</v>
      </c>
      <c r="B78" s="1" t="s">
        <v>898</v>
      </c>
      <c r="C78" s="1" t="s">
        <v>899</v>
      </c>
      <c r="D78" s="1" t="s">
        <v>900</v>
      </c>
      <c r="E78" s="1" t="s">
        <v>901</v>
      </c>
      <c r="F78" s="1" t="s">
        <v>902</v>
      </c>
      <c r="G78" s="1" t="s">
        <v>903</v>
      </c>
      <c r="H78" s="1" t="s">
        <v>904</v>
      </c>
      <c r="I78" s="1" t="s">
        <v>905</v>
      </c>
      <c r="J78" s="1" t="s">
        <v>906</v>
      </c>
      <c r="K78" s="1" t="s">
        <v>394</v>
      </c>
      <c r="L78" s="2"/>
      <c r="M78" s="2"/>
      <c r="N78" s="2"/>
      <c r="O78" s="2"/>
      <c r="P78" s="2"/>
      <c r="Q78" s="2"/>
      <c r="R78" s="2"/>
      <c r="S78" s="2"/>
      <c r="T78" s="2"/>
      <c r="U78" s="2"/>
      <c r="V78" s="2"/>
      <c r="W78" s="2"/>
      <c r="X78" s="2"/>
      <c r="Y78" s="2"/>
      <c r="Z78" s="2"/>
    </row>
    <row r="79" ht="15.75" customHeight="1">
      <c r="A79" s="1" t="s">
        <v>907</v>
      </c>
      <c r="B79" s="1" t="s">
        <v>908</v>
      </c>
      <c r="C79" s="1" t="s">
        <v>195</v>
      </c>
      <c r="D79" s="1" t="s">
        <v>909</v>
      </c>
      <c r="E79" s="1" t="s">
        <v>910</v>
      </c>
      <c r="F79" s="1" t="s">
        <v>911</v>
      </c>
      <c r="G79" s="1" t="s">
        <v>912</v>
      </c>
      <c r="H79" s="1" t="s">
        <v>913</v>
      </c>
      <c r="I79" s="1" t="s">
        <v>914</v>
      </c>
      <c r="J79" s="1" t="s">
        <v>915</v>
      </c>
      <c r="K79" s="1" t="s">
        <v>916</v>
      </c>
      <c r="L79" s="2"/>
      <c r="M79" s="2"/>
      <c r="N79" s="2"/>
      <c r="O79" s="2"/>
      <c r="P79" s="2"/>
      <c r="Q79" s="2"/>
      <c r="R79" s="2"/>
      <c r="S79" s="2"/>
      <c r="T79" s="2"/>
      <c r="U79" s="2"/>
      <c r="V79" s="2"/>
      <c r="W79" s="2"/>
      <c r="X79" s="2"/>
      <c r="Y79" s="2"/>
      <c r="Z79" s="2"/>
    </row>
    <row r="80" ht="15.75" customHeight="1">
      <c r="A80" s="1" t="s">
        <v>917</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918</v>
      </c>
      <c r="B81" s="1" t="s">
        <v>393</v>
      </c>
      <c r="C81" s="1" t="s">
        <v>919</v>
      </c>
      <c r="D81" s="1" t="s">
        <v>920</v>
      </c>
      <c r="E81" s="1" t="s">
        <v>921</v>
      </c>
      <c r="F81" s="1" t="s">
        <v>922</v>
      </c>
      <c r="G81" s="1" t="s">
        <v>923</v>
      </c>
      <c r="H81" s="1" t="s">
        <v>924</v>
      </c>
      <c r="I81" s="1" t="s">
        <v>925</v>
      </c>
      <c r="J81" s="1" t="s">
        <v>926</v>
      </c>
      <c r="K81" s="1" t="s">
        <v>927</v>
      </c>
      <c r="L81" s="2"/>
      <c r="M81" s="2"/>
      <c r="N81" s="2"/>
      <c r="O81" s="2"/>
      <c r="P81" s="2"/>
      <c r="Q81" s="2"/>
      <c r="R81" s="2"/>
      <c r="S81" s="2"/>
      <c r="T81" s="2"/>
      <c r="U81" s="2"/>
      <c r="V81" s="2"/>
      <c r="W81" s="2"/>
      <c r="X81" s="2"/>
      <c r="Y81" s="2"/>
      <c r="Z81" s="2"/>
    </row>
    <row r="82" ht="15.75" customHeight="1">
      <c r="A82" s="1" t="s">
        <v>928</v>
      </c>
      <c r="B82" s="1" t="s">
        <v>929</v>
      </c>
      <c r="C82" s="1" t="s">
        <v>930</v>
      </c>
      <c r="D82" s="1" t="s">
        <v>931</v>
      </c>
      <c r="E82" s="1" t="s">
        <v>932</v>
      </c>
      <c r="F82" s="1" t="s">
        <v>933</v>
      </c>
      <c r="G82" s="1" t="s">
        <v>646</v>
      </c>
      <c r="H82" s="1" t="s">
        <v>760</v>
      </c>
      <c r="I82" s="1" t="s">
        <v>934</v>
      </c>
      <c r="J82" s="1" t="s">
        <v>935</v>
      </c>
      <c r="K82" s="1" t="s">
        <v>936</v>
      </c>
      <c r="L82" s="2"/>
      <c r="M82" s="2"/>
      <c r="N82" s="2"/>
      <c r="O82" s="2"/>
      <c r="P82" s="2"/>
      <c r="Q82" s="2"/>
      <c r="R82" s="2"/>
      <c r="S82" s="2"/>
      <c r="T82" s="2"/>
      <c r="U82" s="2"/>
      <c r="V82" s="2"/>
      <c r="W82" s="2"/>
      <c r="X82" s="2"/>
      <c r="Y82" s="2"/>
      <c r="Z82" s="2"/>
    </row>
    <row r="83" ht="15.75" customHeight="1">
      <c r="A83" s="1" t="s">
        <v>937</v>
      </c>
      <c r="B83" s="1" t="s">
        <v>115</v>
      </c>
      <c r="C83" s="1" t="s">
        <v>938</v>
      </c>
      <c r="D83" s="1" t="s">
        <v>939</v>
      </c>
      <c r="E83" s="1" t="s">
        <v>940</v>
      </c>
      <c r="F83" s="1" t="s">
        <v>941</v>
      </c>
      <c r="G83" s="1" t="s">
        <v>826</v>
      </c>
      <c r="H83" s="1" t="s">
        <v>942</v>
      </c>
      <c r="I83" s="1" t="s">
        <v>943</v>
      </c>
      <c r="J83" s="1" t="s">
        <v>944</v>
      </c>
      <c r="K83" s="1" t="s">
        <v>945</v>
      </c>
      <c r="L83" s="2"/>
      <c r="M83" s="2"/>
      <c r="N83" s="2"/>
      <c r="O83" s="2"/>
      <c r="P83" s="2"/>
      <c r="Q83" s="2"/>
      <c r="R83" s="2"/>
      <c r="S83" s="2"/>
      <c r="T83" s="2"/>
      <c r="U83" s="2"/>
      <c r="V83" s="2"/>
      <c r="W83" s="2"/>
      <c r="X83" s="2"/>
      <c r="Y83" s="2"/>
      <c r="Z83" s="2"/>
    </row>
    <row r="84" ht="15.75" customHeight="1">
      <c r="A84" s="1" t="s">
        <v>946</v>
      </c>
      <c r="B84" s="1" t="s">
        <v>644</v>
      </c>
      <c r="C84" s="1" t="s">
        <v>947</v>
      </c>
      <c r="D84" s="1" t="s">
        <v>948</v>
      </c>
      <c r="E84" s="1" t="s">
        <v>949</v>
      </c>
      <c r="F84" s="1" t="s">
        <v>950</v>
      </c>
      <c r="G84" s="1" t="s">
        <v>951</v>
      </c>
      <c r="H84" s="1" t="s">
        <v>549</v>
      </c>
      <c r="I84" s="1" t="s">
        <v>952</v>
      </c>
      <c r="J84" s="1" t="s">
        <v>953</v>
      </c>
      <c r="K84" s="1" t="s">
        <v>954</v>
      </c>
      <c r="L84" s="2"/>
      <c r="M84" s="2"/>
      <c r="N84" s="2"/>
      <c r="O84" s="2"/>
      <c r="P84" s="2"/>
      <c r="Q84" s="2"/>
      <c r="R84" s="2"/>
      <c r="S84" s="2"/>
      <c r="T84" s="2"/>
      <c r="U84" s="2"/>
      <c r="V84" s="2"/>
      <c r="W84" s="2"/>
      <c r="X84" s="2"/>
      <c r="Y84" s="2"/>
      <c r="Z84" s="2"/>
    </row>
    <row r="85" ht="15.75" customHeight="1">
      <c r="A85" s="1" t="s">
        <v>955</v>
      </c>
      <c r="B85" s="1" t="s">
        <v>956</v>
      </c>
      <c r="C85" s="1" t="s">
        <v>957</v>
      </c>
      <c r="D85" s="1" t="s">
        <v>777</v>
      </c>
      <c r="E85" s="1" t="s">
        <v>958</v>
      </c>
      <c r="F85" s="1" t="s">
        <v>959</v>
      </c>
      <c r="G85" s="1" t="s">
        <v>960</v>
      </c>
      <c r="H85" s="1" t="s">
        <v>961</v>
      </c>
      <c r="I85" s="1" t="s">
        <v>962</v>
      </c>
      <c r="J85" s="1" t="s">
        <v>963</v>
      </c>
      <c r="K85" s="1" t="s">
        <v>964</v>
      </c>
      <c r="L85" s="2"/>
      <c r="M85" s="2"/>
      <c r="N85" s="2"/>
      <c r="O85" s="2"/>
      <c r="P85" s="2"/>
      <c r="Q85" s="2"/>
      <c r="R85" s="2"/>
      <c r="S85" s="2"/>
      <c r="T85" s="2"/>
      <c r="U85" s="2"/>
      <c r="V85" s="2"/>
      <c r="W85" s="2"/>
      <c r="X85" s="2"/>
      <c r="Y85" s="2"/>
      <c r="Z85" s="2"/>
    </row>
    <row r="86" ht="15.75" customHeight="1">
      <c r="A86" s="1" t="s">
        <v>965</v>
      </c>
      <c r="B86" s="1" t="s">
        <v>966</v>
      </c>
      <c r="C86" s="1" t="s">
        <v>967</v>
      </c>
      <c r="D86" s="1" t="s">
        <v>968</v>
      </c>
      <c r="E86" s="1" t="s">
        <v>969</v>
      </c>
      <c r="F86" s="1" t="s">
        <v>970</v>
      </c>
      <c r="G86" s="1" t="s">
        <v>971</v>
      </c>
      <c r="H86" s="1" t="s">
        <v>972</v>
      </c>
      <c r="I86" s="1" t="s">
        <v>973</v>
      </c>
      <c r="J86" s="1" t="s">
        <v>974</v>
      </c>
      <c r="K86" s="1" t="s">
        <v>975</v>
      </c>
      <c r="L86" s="2"/>
      <c r="M86" s="2"/>
      <c r="N86" s="2"/>
      <c r="O86" s="2"/>
      <c r="P86" s="2"/>
      <c r="Q86" s="2"/>
      <c r="R86" s="2"/>
      <c r="S86" s="2"/>
      <c r="T86" s="2"/>
      <c r="U86" s="2"/>
      <c r="V86" s="2"/>
      <c r="W86" s="2"/>
      <c r="X86" s="2"/>
      <c r="Y86" s="2"/>
      <c r="Z86" s="2"/>
    </row>
    <row r="87" ht="15.75" customHeight="1">
      <c r="A87" s="1" t="s">
        <v>976</v>
      </c>
      <c r="B87" s="1" t="s">
        <v>977</v>
      </c>
      <c r="C87" s="1" t="s">
        <v>978</v>
      </c>
      <c r="D87" s="1" t="s">
        <v>968</v>
      </c>
      <c r="E87" s="1" t="s">
        <v>969</v>
      </c>
      <c r="F87" s="1" t="s">
        <v>970</v>
      </c>
      <c r="G87" s="1" t="s">
        <v>971</v>
      </c>
      <c r="H87" s="1" t="s">
        <v>972</v>
      </c>
      <c r="I87" s="1" t="s">
        <v>973</v>
      </c>
      <c r="J87" s="1" t="s">
        <v>974</v>
      </c>
      <c r="K87" s="1" t="s">
        <v>975</v>
      </c>
      <c r="L87" s="2"/>
      <c r="M87" s="2"/>
      <c r="N87" s="2"/>
      <c r="O87" s="2"/>
      <c r="P87" s="2"/>
      <c r="Q87" s="2"/>
      <c r="R87" s="2"/>
      <c r="S87" s="2"/>
      <c r="T87" s="2"/>
      <c r="U87" s="2"/>
      <c r="V87" s="2"/>
      <c r="W87" s="2"/>
      <c r="X87" s="2"/>
      <c r="Y87" s="2"/>
      <c r="Z87" s="2"/>
    </row>
    <row r="88" ht="15.75" customHeight="1">
      <c r="A88" s="1" t="s">
        <v>979</v>
      </c>
      <c r="B88" s="1" t="s">
        <v>980</v>
      </c>
      <c r="C88" s="1" t="s">
        <v>981</v>
      </c>
      <c r="D88" s="1" t="s">
        <v>982</v>
      </c>
      <c r="E88" s="1" t="s">
        <v>983</v>
      </c>
      <c r="F88" s="1" t="s">
        <v>984</v>
      </c>
      <c r="G88" s="1" t="s">
        <v>985</v>
      </c>
      <c r="H88" s="1" t="s">
        <v>785</v>
      </c>
      <c r="I88" s="1" t="s">
        <v>986</v>
      </c>
      <c r="J88" s="1" t="s">
        <v>987</v>
      </c>
      <c r="K88" s="1" t="s">
        <v>988</v>
      </c>
      <c r="L88" s="2"/>
      <c r="M88" s="2"/>
      <c r="N88" s="2"/>
      <c r="O88" s="2"/>
      <c r="P88" s="2"/>
      <c r="Q88" s="2"/>
      <c r="R88" s="2"/>
      <c r="S88" s="2"/>
      <c r="T88" s="2"/>
      <c r="U88" s="2"/>
      <c r="V88" s="2"/>
      <c r="W88" s="2"/>
      <c r="X88" s="2"/>
      <c r="Y88" s="2"/>
      <c r="Z88" s="2"/>
    </row>
    <row r="89" ht="15.75" customHeight="1">
      <c r="A89" s="1" t="s">
        <v>989</v>
      </c>
      <c r="B89" s="1" t="s">
        <v>990</v>
      </c>
      <c r="C89" s="1" t="s">
        <v>991</v>
      </c>
      <c r="D89" s="1" t="s">
        <v>992</v>
      </c>
      <c r="E89" s="1" t="s">
        <v>494</v>
      </c>
      <c r="F89" s="1" t="s">
        <v>289</v>
      </c>
      <c r="G89" s="1" t="s">
        <v>338</v>
      </c>
      <c r="H89" s="1" t="s">
        <v>993</v>
      </c>
      <c r="I89" s="1" t="s">
        <v>994</v>
      </c>
      <c r="J89" s="1" t="s">
        <v>995</v>
      </c>
      <c r="K89" s="1" t="s">
        <v>996</v>
      </c>
      <c r="L89" s="2"/>
      <c r="M89" s="2"/>
      <c r="N89" s="2"/>
      <c r="O89" s="2"/>
      <c r="P89" s="2"/>
      <c r="Q89" s="2"/>
      <c r="R89" s="2"/>
      <c r="S89" s="2"/>
      <c r="T89" s="2"/>
      <c r="U89" s="2"/>
      <c r="V89" s="2"/>
      <c r="W89" s="2"/>
      <c r="X89" s="2"/>
      <c r="Y89" s="2"/>
      <c r="Z89" s="2"/>
    </row>
    <row r="90" ht="15.75" customHeight="1">
      <c r="A90" s="1" t="s">
        <v>997</v>
      </c>
      <c r="B90" s="1" t="s">
        <v>322</v>
      </c>
      <c r="C90" s="1" t="s">
        <v>998</v>
      </c>
      <c r="D90" s="1" t="s">
        <v>999</v>
      </c>
      <c r="E90" s="1" t="s">
        <v>1000</v>
      </c>
      <c r="F90" s="1" t="s">
        <v>1001</v>
      </c>
      <c r="G90" s="1" t="s">
        <v>1002</v>
      </c>
      <c r="H90" s="1" t="s">
        <v>1003</v>
      </c>
      <c r="I90" s="1" t="s">
        <v>1004</v>
      </c>
      <c r="J90" s="1" t="s">
        <v>1005</v>
      </c>
      <c r="K90" s="1" t="s">
        <v>1006</v>
      </c>
      <c r="L90" s="2"/>
      <c r="M90" s="2"/>
      <c r="N90" s="2"/>
      <c r="O90" s="2"/>
      <c r="P90" s="2"/>
      <c r="Q90" s="2"/>
      <c r="R90" s="2"/>
      <c r="S90" s="2"/>
      <c r="T90" s="2"/>
      <c r="U90" s="2"/>
      <c r="V90" s="2"/>
      <c r="W90" s="2"/>
      <c r="X90" s="2"/>
      <c r="Y90" s="2"/>
      <c r="Z90" s="2"/>
    </row>
    <row r="91" ht="15.75" customHeight="1">
      <c r="A91" s="1" t="s">
        <v>1007</v>
      </c>
      <c r="B91" s="1" t="s">
        <v>1008</v>
      </c>
      <c r="C91" s="1" t="s">
        <v>1009</v>
      </c>
      <c r="D91" s="1" t="s">
        <v>1010</v>
      </c>
      <c r="E91" s="1" t="s">
        <v>1011</v>
      </c>
      <c r="F91" s="1" t="s">
        <v>1012</v>
      </c>
      <c r="G91" s="1" t="s">
        <v>1013</v>
      </c>
      <c r="H91" s="1" t="s">
        <v>1014</v>
      </c>
      <c r="I91" s="1" t="s">
        <v>1015</v>
      </c>
      <c r="J91" s="1" t="s">
        <v>1016</v>
      </c>
      <c r="K91" s="1" t="s">
        <v>1017</v>
      </c>
      <c r="L91" s="2"/>
      <c r="M91" s="2"/>
      <c r="N91" s="2"/>
      <c r="O91" s="2"/>
      <c r="P91" s="2"/>
      <c r="Q91" s="2"/>
      <c r="R91" s="2"/>
      <c r="S91" s="2"/>
      <c r="T91" s="2"/>
      <c r="U91" s="2"/>
      <c r="V91" s="2"/>
      <c r="W91" s="2"/>
      <c r="X91" s="2"/>
      <c r="Y91" s="2"/>
      <c r="Z91" s="2"/>
    </row>
    <row r="92" ht="15.75" customHeight="1">
      <c r="A92" s="1" t="s">
        <v>1018</v>
      </c>
      <c r="B92" s="1" t="s">
        <v>1019</v>
      </c>
      <c r="C92" s="1" t="s">
        <v>1020</v>
      </c>
      <c r="D92" s="1" t="s">
        <v>1021</v>
      </c>
      <c r="E92" s="1" t="s">
        <v>1022</v>
      </c>
      <c r="F92" s="1" t="s">
        <v>869</v>
      </c>
      <c r="G92" s="1" t="s">
        <v>1023</v>
      </c>
      <c r="H92" s="1" t="s">
        <v>1024</v>
      </c>
      <c r="I92" s="1" t="s">
        <v>1025</v>
      </c>
      <c r="J92" s="1" t="s">
        <v>1026</v>
      </c>
      <c r="K92" s="1" t="s">
        <v>1027</v>
      </c>
      <c r="L92" s="2"/>
      <c r="M92" s="2"/>
      <c r="N92" s="2"/>
      <c r="O92" s="2"/>
      <c r="P92" s="2"/>
      <c r="Q92" s="2"/>
      <c r="R92" s="2"/>
      <c r="S92" s="2"/>
      <c r="T92" s="2"/>
      <c r="U92" s="2"/>
      <c r="V92" s="2"/>
      <c r="W92" s="2"/>
      <c r="X92" s="2"/>
      <c r="Y92" s="2"/>
      <c r="Z92" s="2"/>
    </row>
    <row r="93" ht="15.75" customHeight="1">
      <c r="A93" s="1" t="s">
        <v>1028</v>
      </c>
      <c r="B93" s="1" t="s">
        <v>1029</v>
      </c>
      <c r="C93" s="1" t="s">
        <v>1030</v>
      </c>
      <c r="D93" s="1" t="s">
        <v>1031</v>
      </c>
      <c r="E93" s="1" t="s">
        <v>1032</v>
      </c>
      <c r="F93" s="1" t="s">
        <v>1033</v>
      </c>
      <c r="G93" s="1" t="s">
        <v>1034</v>
      </c>
      <c r="H93" s="1" t="s">
        <v>1035</v>
      </c>
      <c r="I93" s="1" t="s">
        <v>1036</v>
      </c>
      <c r="J93" s="1" t="s">
        <v>1037</v>
      </c>
      <c r="K93" s="1" t="s">
        <v>1038</v>
      </c>
      <c r="L93" s="2"/>
      <c r="M93" s="2"/>
      <c r="N93" s="2"/>
      <c r="O93" s="2"/>
      <c r="P93" s="2"/>
      <c r="Q93" s="2"/>
      <c r="R93" s="2"/>
      <c r="S93" s="2"/>
      <c r="T93" s="2"/>
      <c r="U93" s="2"/>
      <c r="V93" s="2"/>
      <c r="W93" s="2"/>
      <c r="X93" s="2"/>
      <c r="Y93" s="2"/>
      <c r="Z93" s="2"/>
    </row>
    <row r="94" ht="15.75" customHeight="1">
      <c r="A94" s="1" t="s">
        <v>1039</v>
      </c>
      <c r="B94" s="1" t="s">
        <v>1040</v>
      </c>
      <c r="C94" s="1" t="s">
        <v>1041</v>
      </c>
      <c r="D94" s="1" t="s">
        <v>1042</v>
      </c>
      <c r="E94" s="1" t="s">
        <v>1043</v>
      </c>
      <c r="F94" s="1" t="s">
        <v>271</v>
      </c>
      <c r="G94" s="1" t="s">
        <v>1044</v>
      </c>
      <c r="H94" s="1" t="s">
        <v>1045</v>
      </c>
      <c r="I94" s="1" t="s">
        <v>1046</v>
      </c>
      <c r="J94" s="1" t="s">
        <v>300</v>
      </c>
      <c r="K94" s="1" t="s">
        <v>1047</v>
      </c>
      <c r="L94" s="2"/>
      <c r="M94" s="2"/>
      <c r="N94" s="2"/>
      <c r="O94" s="2"/>
      <c r="P94" s="2"/>
      <c r="Q94" s="2"/>
      <c r="R94" s="2"/>
      <c r="S94" s="2"/>
      <c r="T94" s="2"/>
      <c r="U94" s="2"/>
      <c r="V94" s="2"/>
      <c r="W94" s="2"/>
      <c r="X94" s="2"/>
      <c r="Y94" s="2"/>
      <c r="Z94" s="2"/>
    </row>
    <row r="95" ht="15.75" customHeight="1">
      <c r="A95" s="1" t="s">
        <v>1048</v>
      </c>
      <c r="B95" s="1" t="s">
        <v>1049</v>
      </c>
      <c r="C95" s="1" t="s">
        <v>1050</v>
      </c>
      <c r="D95" s="1" t="s">
        <v>1051</v>
      </c>
      <c r="E95" s="1" t="s">
        <v>1052</v>
      </c>
      <c r="F95" s="1" t="s">
        <v>1053</v>
      </c>
      <c r="G95" s="1" t="s">
        <v>1054</v>
      </c>
      <c r="H95" s="1" t="s">
        <v>1055</v>
      </c>
      <c r="I95" s="1" t="s">
        <v>576</v>
      </c>
      <c r="J95" s="1" t="s">
        <v>1056</v>
      </c>
      <c r="K95" s="1" t="s">
        <v>1057</v>
      </c>
      <c r="L95" s="2"/>
      <c r="M95" s="2"/>
      <c r="N95" s="2"/>
      <c r="O95" s="2"/>
      <c r="P95" s="2"/>
      <c r="Q95" s="2"/>
      <c r="R95" s="2"/>
      <c r="S95" s="2"/>
      <c r="T95" s="2"/>
      <c r="U95" s="2"/>
      <c r="V95" s="2"/>
      <c r="W95" s="2"/>
      <c r="X95" s="2"/>
      <c r="Y95" s="2"/>
      <c r="Z95" s="2"/>
    </row>
    <row r="96" ht="15.75" customHeight="1">
      <c r="A96" s="1" t="s">
        <v>1058</v>
      </c>
      <c r="B96" s="1" t="s">
        <v>1059</v>
      </c>
      <c r="C96" s="1" t="s">
        <v>1060</v>
      </c>
      <c r="D96" s="1" t="s">
        <v>1061</v>
      </c>
      <c r="E96" s="1" t="s">
        <v>1062</v>
      </c>
      <c r="F96" s="1" t="s">
        <v>1063</v>
      </c>
      <c r="G96" s="1" t="s">
        <v>1064</v>
      </c>
      <c r="H96" s="1" t="s">
        <v>1065</v>
      </c>
      <c r="I96" s="1" t="s">
        <v>1066</v>
      </c>
      <c r="J96" s="1" t="s">
        <v>1067</v>
      </c>
      <c r="K96" s="1" t="s">
        <v>1068</v>
      </c>
      <c r="L96" s="2"/>
      <c r="M96" s="2"/>
      <c r="N96" s="2"/>
      <c r="O96" s="2"/>
      <c r="P96" s="2"/>
      <c r="Q96" s="2"/>
      <c r="R96" s="2"/>
      <c r="S96" s="2"/>
      <c r="T96" s="2"/>
      <c r="U96" s="2"/>
      <c r="V96" s="2"/>
      <c r="W96" s="2"/>
      <c r="X96" s="2"/>
      <c r="Y96" s="2"/>
      <c r="Z96" s="2"/>
    </row>
    <row r="97" ht="15.75" customHeight="1">
      <c r="A97" s="1" t="s">
        <v>1069</v>
      </c>
      <c r="B97" s="1" t="s">
        <v>1070</v>
      </c>
      <c r="C97" s="1" t="s">
        <v>1071</v>
      </c>
      <c r="D97" s="1" t="s">
        <v>1072</v>
      </c>
      <c r="E97" s="1" t="s">
        <v>1073</v>
      </c>
      <c r="F97" s="1">
        <v>49.0</v>
      </c>
      <c r="G97" s="1" t="s">
        <v>1074</v>
      </c>
      <c r="H97" s="1" t="s">
        <v>1075</v>
      </c>
      <c r="I97" s="1" t="s">
        <v>1076</v>
      </c>
      <c r="J97" s="1" t="s">
        <v>1077</v>
      </c>
      <c r="K97" s="1" t="s">
        <v>1078</v>
      </c>
      <c r="L97" s="2"/>
      <c r="M97" s="2"/>
      <c r="N97" s="2"/>
      <c r="O97" s="2"/>
      <c r="P97" s="2"/>
      <c r="Q97" s="2"/>
      <c r="R97" s="2"/>
      <c r="S97" s="2"/>
      <c r="T97" s="2"/>
      <c r="U97" s="2"/>
      <c r="V97" s="2"/>
      <c r="W97" s="2"/>
      <c r="X97" s="2"/>
      <c r="Y97" s="2"/>
      <c r="Z97" s="2"/>
    </row>
    <row r="98" ht="15.75" customHeight="1">
      <c r="A98" s="1" t="s">
        <v>1079</v>
      </c>
      <c r="B98" s="1" t="s">
        <v>1080</v>
      </c>
      <c r="C98" s="1" t="s">
        <v>1081</v>
      </c>
      <c r="D98" s="1" t="s">
        <v>1082</v>
      </c>
      <c r="E98" s="1" t="s">
        <v>1083</v>
      </c>
      <c r="F98" s="1" t="s">
        <v>1084</v>
      </c>
      <c r="G98" s="1" t="s">
        <v>1085</v>
      </c>
      <c r="H98" s="1" t="s">
        <v>1086</v>
      </c>
      <c r="I98" s="1" t="s">
        <v>1087</v>
      </c>
      <c r="J98" s="1" t="s">
        <v>1088</v>
      </c>
      <c r="K98" s="1" t="s">
        <v>1089</v>
      </c>
      <c r="L98" s="2"/>
      <c r="M98" s="2"/>
      <c r="N98" s="2"/>
      <c r="O98" s="2"/>
      <c r="P98" s="2"/>
      <c r="Q98" s="2"/>
      <c r="R98" s="2"/>
      <c r="S98" s="2"/>
      <c r="T98" s="2"/>
      <c r="U98" s="2"/>
      <c r="V98" s="2"/>
      <c r="W98" s="2"/>
      <c r="X98" s="2"/>
      <c r="Y98" s="2"/>
      <c r="Z98" s="2"/>
    </row>
    <row r="99" ht="15.75" customHeight="1">
      <c r="A99" s="1" t="s">
        <v>1090</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1091</v>
      </c>
      <c r="B100" s="1" t="s">
        <v>257</v>
      </c>
      <c r="C100" s="1" t="s">
        <v>252</v>
      </c>
      <c r="D100" s="1" t="s">
        <v>1092</v>
      </c>
      <c r="E100" s="1" t="s">
        <v>1093</v>
      </c>
      <c r="F100" s="1" t="s">
        <v>1094</v>
      </c>
      <c r="G100" s="1" t="s">
        <v>1095</v>
      </c>
      <c r="H100" s="1" t="s">
        <v>1096</v>
      </c>
      <c r="I100" s="1" t="s">
        <v>1097</v>
      </c>
      <c r="J100" s="1" t="s">
        <v>1098</v>
      </c>
      <c r="K100" s="1" t="s">
        <v>847</v>
      </c>
      <c r="L100" s="2"/>
      <c r="M100" s="2"/>
      <c r="N100" s="2"/>
      <c r="O100" s="2"/>
      <c r="P100" s="2"/>
      <c r="Q100" s="2"/>
      <c r="R100" s="2"/>
      <c r="S100" s="2"/>
      <c r="T100" s="2"/>
      <c r="U100" s="2"/>
      <c r="V100" s="2"/>
      <c r="W100" s="2"/>
      <c r="X100" s="2"/>
      <c r="Y100" s="2"/>
      <c r="Z100" s="2"/>
    </row>
    <row r="101" ht="15.75" customHeight="1">
      <c r="A101" s="1" t="s">
        <v>1099</v>
      </c>
      <c r="B101" s="1" t="s">
        <v>1100</v>
      </c>
      <c r="C101" s="1" t="s">
        <v>1101</v>
      </c>
      <c r="D101" s="1" t="s">
        <v>1102</v>
      </c>
      <c r="E101" s="1" t="s">
        <v>1103</v>
      </c>
      <c r="F101" s="1" t="s">
        <v>1104</v>
      </c>
      <c r="G101" s="1" t="s">
        <v>1105</v>
      </c>
      <c r="H101" s="1" t="s">
        <v>1106</v>
      </c>
      <c r="I101" s="1" t="s">
        <v>1107</v>
      </c>
      <c r="J101" s="1" t="s">
        <v>1108</v>
      </c>
      <c r="K101" s="1" t="s">
        <v>1109</v>
      </c>
      <c r="L101" s="2"/>
      <c r="M101" s="2"/>
      <c r="N101" s="2"/>
      <c r="O101" s="2"/>
      <c r="P101" s="2"/>
      <c r="Q101" s="2"/>
      <c r="R101" s="2"/>
      <c r="S101" s="2"/>
      <c r="T101" s="2"/>
      <c r="U101" s="2"/>
      <c r="V101" s="2"/>
      <c r="W101" s="2"/>
      <c r="X101" s="2"/>
      <c r="Y101" s="2"/>
      <c r="Z101" s="2"/>
    </row>
    <row r="102" ht="15.75" customHeight="1">
      <c r="A102" s="1" t="s">
        <v>1110</v>
      </c>
      <c r="B102" s="1" t="s">
        <v>1111</v>
      </c>
      <c r="C102" s="1" t="s">
        <v>1112</v>
      </c>
      <c r="D102" s="1" t="s">
        <v>1113</v>
      </c>
      <c r="E102" s="1" t="s">
        <v>1114</v>
      </c>
      <c r="F102" s="1" t="s">
        <v>1115</v>
      </c>
      <c r="G102" s="1" t="s">
        <v>1116</v>
      </c>
      <c r="H102" s="1" t="s">
        <v>1117</v>
      </c>
      <c r="I102" s="1" t="s">
        <v>1118</v>
      </c>
      <c r="J102" s="1" t="s">
        <v>1119</v>
      </c>
      <c r="K102" s="1" t="s">
        <v>1120</v>
      </c>
      <c r="L102" s="2"/>
      <c r="M102" s="2"/>
      <c r="N102" s="2"/>
      <c r="O102" s="2"/>
      <c r="P102" s="2"/>
      <c r="Q102" s="2"/>
      <c r="R102" s="2"/>
      <c r="S102" s="2"/>
      <c r="T102" s="2"/>
      <c r="U102" s="2"/>
      <c r="V102" s="2"/>
      <c r="W102" s="2"/>
      <c r="X102" s="2"/>
      <c r="Y102" s="2"/>
      <c r="Z102" s="2"/>
    </row>
    <row r="103" ht="15.75" customHeight="1">
      <c r="A103" s="1" t="s">
        <v>1121</v>
      </c>
      <c r="B103" s="1" t="s">
        <v>1122</v>
      </c>
      <c r="C103" s="1" t="s">
        <v>1123</v>
      </c>
      <c r="D103" s="1" t="s">
        <v>1124</v>
      </c>
      <c r="E103" s="1" t="s">
        <v>1125</v>
      </c>
      <c r="F103" s="1" t="s">
        <v>998</v>
      </c>
      <c r="G103" s="1" t="s">
        <v>1126</v>
      </c>
      <c r="H103" s="1" t="s">
        <v>1127</v>
      </c>
      <c r="I103" s="1" t="s">
        <v>1128</v>
      </c>
      <c r="J103" s="1" t="s">
        <v>1129</v>
      </c>
      <c r="K103" s="1" t="s">
        <v>883</v>
      </c>
      <c r="L103" s="2"/>
      <c r="M103" s="2"/>
      <c r="N103" s="2"/>
      <c r="O103" s="2"/>
      <c r="P103" s="2"/>
      <c r="Q103" s="2"/>
      <c r="R103" s="2"/>
      <c r="S103" s="2"/>
      <c r="T103" s="2"/>
      <c r="U103" s="2"/>
      <c r="V103" s="2"/>
      <c r="W103" s="2"/>
      <c r="X103" s="2"/>
      <c r="Y103" s="2"/>
      <c r="Z103" s="2"/>
    </row>
    <row r="104" ht="15.75" customHeight="1">
      <c r="A104" s="1" t="s">
        <v>1130</v>
      </c>
      <c r="B104" s="1" t="s">
        <v>1131</v>
      </c>
      <c r="C104" s="1" t="s">
        <v>1132</v>
      </c>
      <c r="D104" s="1" t="s">
        <v>1133</v>
      </c>
      <c r="E104" s="1" t="s">
        <v>1134</v>
      </c>
      <c r="F104" s="1" t="s">
        <v>264</v>
      </c>
      <c r="G104" s="1" t="s">
        <v>1135</v>
      </c>
      <c r="H104" s="1" t="s">
        <v>1136</v>
      </c>
      <c r="I104" s="1" t="s">
        <v>1137</v>
      </c>
      <c r="J104" s="1" t="s">
        <v>1138</v>
      </c>
      <c r="K104" s="1" t="s">
        <v>1139</v>
      </c>
      <c r="L104" s="2"/>
      <c r="M104" s="2"/>
      <c r="N104" s="2"/>
      <c r="O104" s="2"/>
      <c r="P104" s="2"/>
      <c r="Q104" s="2"/>
      <c r="R104" s="2"/>
      <c r="S104" s="2"/>
      <c r="T104" s="2"/>
      <c r="U104" s="2"/>
      <c r="V104" s="2"/>
      <c r="W104" s="2"/>
      <c r="X104" s="2"/>
      <c r="Y104" s="2"/>
      <c r="Z104" s="2"/>
    </row>
    <row r="105" ht="15.75" customHeight="1">
      <c r="A105" s="1" t="s">
        <v>1140</v>
      </c>
      <c r="B105" s="1" t="s">
        <v>1141</v>
      </c>
      <c r="C105" s="1" t="s">
        <v>1142</v>
      </c>
      <c r="D105" s="1" t="s">
        <v>1143</v>
      </c>
      <c r="E105" s="1" t="s">
        <v>1144</v>
      </c>
      <c r="F105" s="1" t="s">
        <v>744</v>
      </c>
      <c r="G105" s="1" t="s">
        <v>1145</v>
      </c>
      <c r="H105" s="1" t="s">
        <v>1146</v>
      </c>
      <c r="I105" s="1" t="s">
        <v>1147</v>
      </c>
      <c r="J105" s="1" t="s">
        <v>1148</v>
      </c>
      <c r="K105" s="1" t="s">
        <v>1149</v>
      </c>
      <c r="L105" s="2"/>
      <c r="M105" s="2"/>
      <c r="N105" s="2"/>
      <c r="O105" s="2"/>
      <c r="P105" s="2"/>
      <c r="Q105" s="2"/>
      <c r="R105" s="2"/>
      <c r="S105" s="2"/>
      <c r="T105" s="2"/>
      <c r="U105" s="2"/>
      <c r="V105" s="2"/>
      <c r="W105" s="2"/>
      <c r="X105" s="2"/>
      <c r="Y105" s="2"/>
      <c r="Z105" s="2"/>
    </row>
    <row r="106" ht="15.75" customHeight="1">
      <c r="A106" s="1" t="s">
        <v>1150</v>
      </c>
      <c r="B106" s="1" t="s">
        <v>1141</v>
      </c>
      <c r="C106" s="1" t="s">
        <v>1151</v>
      </c>
      <c r="D106" s="1" t="s">
        <v>1152</v>
      </c>
      <c r="E106" s="1" t="s">
        <v>1153</v>
      </c>
      <c r="F106" s="1" t="s">
        <v>744</v>
      </c>
      <c r="G106" s="1" t="s">
        <v>1145</v>
      </c>
      <c r="H106" s="1" t="s">
        <v>1146</v>
      </c>
      <c r="I106" s="1" t="s">
        <v>1147</v>
      </c>
      <c r="J106" s="1" t="s">
        <v>1148</v>
      </c>
      <c r="K106" s="1" t="s">
        <v>1149</v>
      </c>
      <c r="L106" s="2"/>
      <c r="M106" s="2"/>
      <c r="N106" s="2"/>
      <c r="O106" s="2"/>
      <c r="P106" s="2"/>
      <c r="Q106" s="2"/>
      <c r="R106" s="2"/>
      <c r="S106" s="2"/>
      <c r="T106" s="2"/>
      <c r="U106" s="2"/>
      <c r="V106" s="2"/>
      <c r="W106" s="2"/>
      <c r="X106" s="2"/>
      <c r="Y106" s="2"/>
      <c r="Z106" s="2"/>
    </row>
    <row r="107" ht="15.75" customHeight="1">
      <c r="A107" s="1" t="s">
        <v>1154</v>
      </c>
      <c r="B107" s="1" t="s">
        <v>1155</v>
      </c>
      <c r="C107" s="1" t="s">
        <v>1156</v>
      </c>
      <c r="D107" s="1" t="s">
        <v>1157</v>
      </c>
      <c r="E107" s="1" t="s">
        <v>1158</v>
      </c>
      <c r="F107" s="1" t="s">
        <v>1159</v>
      </c>
      <c r="G107" s="1" t="s">
        <v>1160</v>
      </c>
      <c r="H107" s="1" t="s">
        <v>1161</v>
      </c>
      <c r="I107" s="1" t="s">
        <v>1162</v>
      </c>
      <c r="J107" s="1" t="s">
        <v>1163</v>
      </c>
      <c r="K107" s="1" t="s">
        <v>1063</v>
      </c>
      <c r="L107" s="2"/>
      <c r="M107" s="2"/>
      <c r="N107" s="2"/>
      <c r="O107" s="2"/>
      <c r="P107" s="2"/>
      <c r="Q107" s="2"/>
      <c r="R107" s="2"/>
      <c r="S107" s="2"/>
      <c r="T107" s="2"/>
      <c r="U107" s="2"/>
      <c r="V107" s="2"/>
      <c r="W107" s="2"/>
      <c r="X107" s="2"/>
      <c r="Y107" s="2"/>
      <c r="Z107" s="2"/>
    </row>
    <row r="108" ht="15.75" customHeight="1">
      <c r="A108" s="1" t="s">
        <v>1164</v>
      </c>
      <c r="B108" s="1" t="s">
        <v>1165</v>
      </c>
      <c r="C108" s="1" t="s">
        <v>1166</v>
      </c>
      <c r="D108" s="1" t="s">
        <v>1167</v>
      </c>
      <c r="E108" s="1" t="s">
        <v>1168</v>
      </c>
      <c r="F108" s="1" t="s">
        <v>1169</v>
      </c>
      <c r="G108" s="1" t="s">
        <v>1170</v>
      </c>
      <c r="H108" s="1" t="s">
        <v>1171</v>
      </c>
      <c r="I108" s="1" t="s">
        <v>1172</v>
      </c>
      <c r="J108" s="1" t="s">
        <v>1173</v>
      </c>
      <c r="K108" s="1" t="s">
        <v>1174</v>
      </c>
      <c r="L108" s="2"/>
      <c r="M108" s="2"/>
      <c r="N108" s="2"/>
      <c r="O108" s="2"/>
      <c r="P108" s="2"/>
      <c r="Q108" s="2"/>
      <c r="R108" s="2"/>
      <c r="S108" s="2"/>
      <c r="T108" s="2"/>
      <c r="U108" s="2"/>
      <c r="V108" s="2"/>
      <c r="W108" s="2"/>
      <c r="X108" s="2"/>
      <c r="Y108" s="2"/>
      <c r="Z108" s="2"/>
    </row>
    <row r="109" ht="15.75" customHeight="1">
      <c r="A109" s="1" t="s">
        <v>1175</v>
      </c>
      <c r="B109" s="1" t="s">
        <v>1176</v>
      </c>
      <c r="C109" s="1" t="s">
        <v>1177</v>
      </c>
      <c r="D109" s="1" t="s">
        <v>1178</v>
      </c>
      <c r="E109" s="1" t="s">
        <v>501</v>
      </c>
      <c r="F109" s="1" t="s">
        <v>1179</v>
      </c>
      <c r="G109" s="1" t="s">
        <v>1180</v>
      </c>
      <c r="H109" s="1" t="s">
        <v>504</v>
      </c>
      <c r="I109" s="1" t="s">
        <v>1181</v>
      </c>
      <c r="J109" s="1" t="s">
        <v>1182</v>
      </c>
      <c r="K109" s="1" t="s">
        <v>1183</v>
      </c>
      <c r="L109" s="2"/>
      <c r="M109" s="2"/>
      <c r="N109" s="2"/>
      <c r="O109" s="2"/>
      <c r="P109" s="2"/>
      <c r="Q109" s="2"/>
      <c r="R109" s="2"/>
      <c r="S109" s="2"/>
      <c r="T109" s="2"/>
      <c r="U109" s="2"/>
      <c r="V109" s="2"/>
      <c r="W109" s="2"/>
      <c r="X109" s="2"/>
      <c r="Y109" s="2"/>
      <c r="Z109" s="2"/>
    </row>
    <row r="110" ht="15.75" customHeight="1">
      <c r="A110" s="1" t="s">
        <v>1184</v>
      </c>
      <c r="B110" s="1" t="s">
        <v>1185</v>
      </c>
      <c r="C110" s="1" t="s">
        <v>959</v>
      </c>
      <c r="D110" s="1" t="s">
        <v>1186</v>
      </c>
      <c r="E110" s="1" t="s">
        <v>1187</v>
      </c>
      <c r="F110" s="1" t="s">
        <v>1188</v>
      </c>
      <c r="G110" s="1" t="s">
        <v>1056</v>
      </c>
      <c r="H110" s="1" t="s">
        <v>1189</v>
      </c>
      <c r="I110" s="1" t="s">
        <v>1190</v>
      </c>
      <c r="J110" s="1" t="s">
        <v>1191</v>
      </c>
      <c r="K110" s="1" t="s">
        <v>289</v>
      </c>
      <c r="L110" s="2"/>
      <c r="M110" s="2"/>
      <c r="N110" s="2"/>
      <c r="O110" s="2"/>
      <c r="P110" s="2"/>
      <c r="Q110" s="2"/>
      <c r="R110" s="2"/>
      <c r="S110" s="2"/>
      <c r="T110" s="2"/>
      <c r="U110" s="2"/>
      <c r="V110" s="2"/>
      <c r="W110" s="2"/>
      <c r="X110" s="2"/>
      <c r="Y110" s="2"/>
      <c r="Z110" s="2"/>
    </row>
    <row r="111" ht="15.75" customHeight="1">
      <c r="A111" s="1" t="s">
        <v>1192</v>
      </c>
      <c r="B111" s="1" t="s">
        <v>301</v>
      </c>
      <c r="C111" s="1" t="s">
        <v>1193</v>
      </c>
      <c r="D111" s="1" t="s">
        <v>1194</v>
      </c>
      <c r="E111" s="1" t="s">
        <v>1195</v>
      </c>
      <c r="F111" s="1" t="s">
        <v>1196</v>
      </c>
      <c r="G111" s="1" t="s">
        <v>1197</v>
      </c>
      <c r="H111" s="1" t="s">
        <v>956</v>
      </c>
      <c r="I111" s="1" t="s">
        <v>1198</v>
      </c>
      <c r="J111" s="1" t="s">
        <v>1199</v>
      </c>
      <c r="K111" s="1" t="s">
        <v>1200</v>
      </c>
      <c r="L111" s="2"/>
      <c r="M111" s="2"/>
      <c r="N111" s="2"/>
      <c r="O111" s="2"/>
      <c r="P111" s="2"/>
      <c r="Q111" s="2"/>
      <c r="R111" s="2"/>
      <c r="S111" s="2"/>
      <c r="T111" s="2"/>
      <c r="U111" s="2"/>
      <c r="V111" s="2"/>
      <c r="W111" s="2"/>
      <c r="X111" s="2"/>
      <c r="Y111" s="2"/>
      <c r="Z111" s="2"/>
    </row>
    <row r="112" ht="15.75" customHeight="1">
      <c r="A112" s="1" t="s">
        <v>1201</v>
      </c>
      <c r="B112" s="1" t="s">
        <v>1202</v>
      </c>
      <c r="C112" s="1" t="s">
        <v>1203</v>
      </c>
      <c r="D112" s="1" t="s">
        <v>1204</v>
      </c>
      <c r="E112" s="1" t="s">
        <v>1205</v>
      </c>
      <c r="F112" s="1" t="s">
        <v>1206</v>
      </c>
      <c r="G112" s="1" t="s">
        <v>462</v>
      </c>
      <c r="H112" s="1" t="s">
        <v>1207</v>
      </c>
      <c r="I112" s="1" t="s">
        <v>1208</v>
      </c>
      <c r="J112" s="1" t="s">
        <v>1209</v>
      </c>
      <c r="K112" s="1" t="s">
        <v>1210</v>
      </c>
      <c r="L112" s="2"/>
      <c r="M112" s="2"/>
      <c r="N112" s="2"/>
      <c r="O112" s="2"/>
      <c r="P112" s="2"/>
      <c r="Q112" s="2"/>
      <c r="R112" s="2"/>
      <c r="S112" s="2"/>
      <c r="T112" s="2"/>
      <c r="U112" s="2"/>
      <c r="V112" s="2"/>
      <c r="W112" s="2"/>
      <c r="X112" s="2"/>
      <c r="Y112" s="2"/>
      <c r="Z112" s="2"/>
    </row>
    <row r="113" ht="15.75" customHeight="1">
      <c r="A113" s="1" t="s">
        <v>1211</v>
      </c>
      <c r="B113" s="1" t="s">
        <v>334</v>
      </c>
      <c r="C113" s="1" t="s">
        <v>1212</v>
      </c>
      <c r="D113" s="1" t="s">
        <v>1213</v>
      </c>
      <c r="E113" s="1" t="s">
        <v>1214</v>
      </c>
      <c r="F113" s="1" t="s">
        <v>1215</v>
      </c>
      <c r="G113" s="1" t="s">
        <v>1216</v>
      </c>
      <c r="H113" s="1" t="s">
        <v>865</v>
      </c>
      <c r="I113" s="1" t="s">
        <v>1217</v>
      </c>
      <c r="J113" s="1" t="s">
        <v>1057</v>
      </c>
      <c r="K113" s="1" t="s">
        <v>1218</v>
      </c>
      <c r="L113" s="2"/>
      <c r="M113" s="2"/>
      <c r="N113" s="2"/>
      <c r="O113" s="2"/>
      <c r="P113" s="2"/>
      <c r="Q113" s="2"/>
      <c r="R113" s="2"/>
      <c r="S113" s="2"/>
      <c r="T113" s="2"/>
      <c r="U113" s="2"/>
      <c r="V113" s="2"/>
      <c r="W113" s="2"/>
      <c r="X113" s="2"/>
      <c r="Y113" s="2"/>
      <c r="Z113" s="2"/>
    </row>
    <row r="114" ht="15.75" customHeight="1">
      <c r="A114" s="1" t="s">
        <v>1219</v>
      </c>
      <c r="B114" s="1" t="s">
        <v>1220</v>
      </c>
      <c r="C114" s="1" t="s">
        <v>1221</v>
      </c>
      <c r="D114" s="1" t="s">
        <v>1222</v>
      </c>
      <c r="E114" s="1" t="s">
        <v>1223</v>
      </c>
      <c r="F114" s="1" t="s">
        <v>1224</v>
      </c>
      <c r="G114" s="1" t="s">
        <v>1225</v>
      </c>
      <c r="H114" s="1" t="s">
        <v>1226</v>
      </c>
      <c r="I114" s="1" t="s">
        <v>294</v>
      </c>
      <c r="J114" s="1" t="s">
        <v>1227</v>
      </c>
      <c r="K114" s="1" t="s">
        <v>576</v>
      </c>
      <c r="L114" s="2"/>
      <c r="M114" s="2"/>
      <c r="N114" s="2"/>
      <c r="O114" s="2"/>
      <c r="P114" s="2"/>
      <c r="Q114" s="2"/>
      <c r="R114" s="2"/>
      <c r="S114" s="2"/>
      <c r="T114" s="2"/>
      <c r="U114" s="2"/>
      <c r="V114" s="2"/>
      <c r="W114" s="2"/>
      <c r="X114" s="2"/>
      <c r="Y114" s="2"/>
      <c r="Z114" s="2"/>
    </row>
    <row r="115" ht="15.75" customHeight="1">
      <c r="A115" s="1" t="s">
        <v>1228</v>
      </c>
      <c r="B115" s="1" t="s">
        <v>1229</v>
      </c>
      <c r="C115" s="1" t="s">
        <v>1230</v>
      </c>
      <c r="D115" s="1" t="s">
        <v>1231</v>
      </c>
      <c r="E115" s="1" t="s">
        <v>1232</v>
      </c>
      <c r="F115" s="1" t="s">
        <v>219</v>
      </c>
      <c r="G115" s="1" t="s">
        <v>1233</v>
      </c>
      <c r="H115" s="1" t="s">
        <v>355</v>
      </c>
      <c r="I115" s="1" t="s">
        <v>1234</v>
      </c>
      <c r="J115" s="1" t="s">
        <v>1235</v>
      </c>
      <c r="K115" s="1" t="s">
        <v>848</v>
      </c>
      <c r="L115" s="2"/>
      <c r="M115" s="2"/>
      <c r="N115" s="2"/>
      <c r="O115" s="2"/>
      <c r="P115" s="2"/>
      <c r="Q115" s="2"/>
      <c r="R115" s="2"/>
      <c r="S115" s="2"/>
      <c r="T115" s="2"/>
      <c r="U115" s="2"/>
      <c r="V115" s="2"/>
      <c r="W115" s="2"/>
      <c r="X115" s="2"/>
      <c r="Y115" s="2"/>
      <c r="Z115" s="2"/>
    </row>
    <row r="116" ht="15.75" customHeight="1">
      <c r="A116" s="1" t="s">
        <v>1236</v>
      </c>
      <c r="B116" s="1" t="s">
        <v>1237</v>
      </c>
      <c r="C116" s="1" t="s">
        <v>1238</v>
      </c>
      <c r="D116" s="1" t="s">
        <v>1239</v>
      </c>
      <c r="E116" s="1" t="s">
        <v>1240</v>
      </c>
      <c r="F116" s="1" t="s">
        <v>1241</v>
      </c>
      <c r="G116" s="1" t="s">
        <v>1242</v>
      </c>
      <c r="H116" s="1" t="s">
        <v>1243</v>
      </c>
      <c r="I116" s="1" t="s">
        <v>1244</v>
      </c>
      <c r="J116" s="1" t="s">
        <v>1245</v>
      </c>
      <c r="K116" s="1" t="s">
        <v>298</v>
      </c>
      <c r="L116" s="2"/>
      <c r="M116" s="2"/>
      <c r="N116" s="2"/>
      <c r="O116" s="2"/>
      <c r="P116" s="2"/>
      <c r="Q116" s="2"/>
      <c r="R116" s="2"/>
      <c r="S116" s="2"/>
      <c r="T116" s="2"/>
      <c r="U116" s="2"/>
      <c r="V116" s="2"/>
      <c r="W116" s="2"/>
      <c r="X116" s="2"/>
      <c r="Y116" s="2"/>
      <c r="Z116" s="2"/>
    </row>
    <row r="117" ht="15.75" customHeight="1">
      <c r="A117" s="1" t="s">
        <v>1246</v>
      </c>
      <c r="B117" s="1" t="s">
        <v>1247</v>
      </c>
      <c r="C117" s="1" t="s">
        <v>1248</v>
      </c>
      <c r="D117" s="1" t="s">
        <v>1249</v>
      </c>
      <c r="E117" s="1" t="s">
        <v>1223</v>
      </c>
      <c r="F117" s="1" t="s">
        <v>1250</v>
      </c>
      <c r="G117" s="1" t="s">
        <v>1251</v>
      </c>
      <c r="H117" s="1" t="s">
        <v>1252</v>
      </c>
      <c r="I117" s="1" t="s">
        <v>1253</v>
      </c>
      <c r="J117" s="1" t="s">
        <v>1254</v>
      </c>
      <c r="K117" s="1" t="s">
        <v>1255</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21</v>
      </c>
      <c r="B1" s="1" t="s">
        <v>1256</v>
      </c>
      <c r="C1" s="1" t="s">
        <v>1257</v>
      </c>
      <c r="D1" s="1" t="s">
        <v>1258</v>
      </c>
      <c r="E1" s="1" t="s">
        <v>1259</v>
      </c>
      <c r="F1" s="1" t="s">
        <v>1260</v>
      </c>
      <c r="G1" s="1" t="s">
        <v>1261</v>
      </c>
      <c r="H1" s="1" t="s">
        <v>1262</v>
      </c>
      <c r="I1" s="1" t="s">
        <v>1263</v>
      </c>
      <c r="J1" s="2"/>
      <c r="K1" s="2"/>
      <c r="L1" s="2"/>
      <c r="M1" s="2"/>
      <c r="N1" s="2"/>
      <c r="O1" s="2"/>
      <c r="P1" s="2"/>
      <c r="Q1" s="2"/>
      <c r="R1" s="2"/>
      <c r="S1" s="2"/>
      <c r="T1" s="2"/>
      <c r="U1" s="2"/>
      <c r="V1" s="2"/>
      <c r="W1" s="2"/>
      <c r="X1" s="2"/>
      <c r="Y1" s="2"/>
      <c r="Z1" s="2"/>
    </row>
    <row r="2">
      <c r="A2" s="1" t="s">
        <v>1264</v>
      </c>
      <c r="B2" s="1" t="s">
        <v>1265</v>
      </c>
      <c r="C2" s="1" t="s">
        <v>1266</v>
      </c>
      <c r="D2" s="1" t="s">
        <v>1267</v>
      </c>
      <c r="E2" s="1" t="s">
        <v>1268</v>
      </c>
      <c r="F2" s="1" t="s">
        <v>1269</v>
      </c>
      <c r="G2" s="1" t="s">
        <v>1270</v>
      </c>
      <c r="H2" s="1" t="s">
        <v>1271</v>
      </c>
      <c r="I2" s="1" t="s">
        <v>1271</v>
      </c>
      <c r="J2" s="2"/>
      <c r="K2" s="2"/>
      <c r="L2" s="2"/>
      <c r="M2" s="2"/>
      <c r="N2" s="2"/>
      <c r="O2" s="2"/>
      <c r="P2" s="2"/>
      <c r="Q2" s="2"/>
      <c r="R2" s="2"/>
      <c r="S2" s="2"/>
      <c r="T2" s="2"/>
      <c r="U2" s="2"/>
      <c r="V2" s="2"/>
      <c r="W2" s="2"/>
      <c r="X2" s="2"/>
      <c r="Y2" s="2"/>
      <c r="Z2" s="2"/>
    </row>
    <row r="3">
      <c r="A3" s="1" t="s">
        <v>1272</v>
      </c>
      <c r="B3" s="1" t="s">
        <v>1271</v>
      </c>
      <c r="C3" s="1" t="s">
        <v>1273</v>
      </c>
      <c r="D3" s="1" t="s">
        <v>1274</v>
      </c>
      <c r="E3" s="1" t="s">
        <v>1275</v>
      </c>
      <c r="F3" s="1" t="s">
        <v>1276</v>
      </c>
      <c r="G3" s="1" t="s">
        <v>1277</v>
      </c>
      <c r="H3" s="1" t="s">
        <v>1271</v>
      </c>
      <c r="I3" s="1" t="s">
        <v>1271</v>
      </c>
      <c r="J3" s="2"/>
      <c r="K3" s="2"/>
      <c r="L3" s="2"/>
      <c r="M3" s="2"/>
      <c r="N3" s="2"/>
      <c r="O3" s="2"/>
      <c r="P3" s="2"/>
      <c r="Q3" s="2"/>
      <c r="R3" s="2"/>
      <c r="S3" s="2"/>
      <c r="T3" s="2"/>
      <c r="U3" s="2"/>
      <c r="V3" s="2"/>
      <c r="W3" s="2"/>
      <c r="X3" s="2"/>
      <c r="Y3" s="2"/>
      <c r="Z3" s="2"/>
    </row>
    <row r="4">
      <c r="A4" s="1" t="s">
        <v>1278</v>
      </c>
      <c r="B4" s="1" t="s">
        <v>1279</v>
      </c>
      <c r="C4" s="1" t="s">
        <v>1280</v>
      </c>
      <c r="D4" s="1" t="s">
        <v>1281</v>
      </c>
      <c r="E4" s="1" t="s">
        <v>1282</v>
      </c>
      <c r="F4" s="1" t="s">
        <v>1283</v>
      </c>
      <c r="G4" s="1" t="s">
        <v>1284</v>
      </c>
      <c r="H4" s="1" t="s">
        <v>1285</v>
      </c>
      <c r="I4" s="1" t="s">
        <v>1286</v>
      </c>
      <c r="J4" s="2"/>
      <c r="K4" s="2"/>
      <c r="L4" s="2"/>
      <c r="M4" s="2"/>
      <c r="N4" s="2"/>
      <c r="O4" s="2"/>
      <c r="P4" s="2"/>
      <c r="Q4" s="2"/>
      <c r="R4" s="2"/>
      <c r="S4" s="2"/>
      <c r="T4" s="2"/>
      <c r="U4" s="2"/>
      <c r="V4" s="2"/>
      <c r="W4" s="2"/>
      <c r="X4" s="2"/>
      <c r="Y4" s="2"/>
      <c r="Z4" s="2"/>
    </row>
    <row r="5">
      <c r="A5" s="1" t="s">
        <v>1272</v>
      </c>
      <c r="B5" s="1" t="s">
        <v>1271</v>
      </c>
      <c r="C5" s="1" t="s">
        <v>1287</v>
      </c>
      <c r="D5" s="1" t="s">
        <v>1288</v>
      </c>
      <c r="E5" s="1" t="s">
        <v>1289</v>
      </c>
      <c r="F5" s="1" t="s">
        <v>1290</v>
      </c>
      <c r="G5" s="1" t="s">
        <v>1291</v>
      </c>
      <c r="H5" s="1" t="s">
        <v>1292</v>
      </c>
      <c r="I5" s="1" t="s">
        <v>1293</v>
      </c>
      <c r="J5" s="2"/>
      <c r="K5" s="2"/>
      <c r="L5" s="2"/>
      <c r="M5" s="2"/>
      <c r="N5" s="2"/>
      <c r="O5" s="2"/>
      <c r="P5" s="2"/>
      <c r="Q5" s="2"/>
      <c r="R5" s="2"/>
      <c r="S5" s="2"/>
      <c r="T5" s="2"/>
      <c r="U5" s="2"/>
      <c r="V5" s="2"/>
      <c r="W5" s="2"/>
      <c r="X5" s="2"/>
      <c r="Y5" s="2"/>
      <c r="Z5" s="2"/>
    </row>
    <row r="6">
      <c r="A6" s="1" t="s">
        <v>1294</v>
      </c>
      <c r="B6" s="1" t="s">
        <v>1295</v>
      </c>
      <c r="C6" s="1" t="s">
        <v>1296</v>
      </c>
      <c r="D6" s="1" t="s">
        <v>1297</v>
      </c>
      <c r="E6" s="1" t="s">
        <v>1298</v>
      </c>
      <c r="F6" s="1" t="s">
        <v>1299</v>
      </c>
      <c r="G6" s="1" t="s">
        <v>1300</v>
      </c>
      <c r="H6" s="1" t="s">
        <v>1301</v>
      </c>
      <c r="I6" s="1" t="s">
        <v>1302</v>
      </c>
      <c r="J6" s="2"/>
      <c r="K6" s="2"/>
      <c r="L6" s="2"/>
      <c r="M6" s="2"/>
      <c r="N6" s="2"/>
      <c r="O6" s="2"/>
      <c r="P6" s="2"/>
      <c r="Q6" s="2"/>
      <c r="R6" s="2"/>
      <c r="S6" s="2"/>
      <c r="T6" s="2"/>
      <c r="U6" s="2"/>
      <c r="V6" s="2"/>
      <c r="W6" s="2"/>
      <c r="X6" s="2"/>
      <c r="Y6" s="2"/>
      <c r="Z6" s="2"/>
    </row>
    <row r="7">
      <c r="A7" s="1" t="s">
        <v>1303</v>
      </c>
      <c r="B7" s="1" t="s">
        <v>1304</v>
      </c>
      <c r="C7" s="1" t="s">
        <v>1305</v>
      </c>
      <c r="D7" s="1" t="s">
        <v>1306</v>
      </c>
      <c r="E7" s="1" t="s">
        <v>1307</v>
      </c>
      <c r="F7" s="1" t="s">
        <v>1308</v>
      </c>
      <c r="G7" s="1" t="s">
        <v>1309</v>
      </c>
      <c r="H7" s="1" t="s">
        <v>1310</v>
      </c>
      <c r="I7" s="1" t="s">
        <v>1310</v>
      </c>
      <c r="J7" s="2"/>
      <c r="K7" s="2"/>
      <c r="L7" s="2"/>
      <c r="M7" s="2"/>
      <c r="N7" s="2"/>
      <c r="O7" s="2"/>
      <c r="P7" s="2"/>
      <c r="Q7" s="2"/>
      <c r="R7" s="2"/>
      <c r="S7" s="2"/>
      <c r="T7" s="2"/>
      <c r="U7" s="2"/>
      <c r="V7" s="2"/>
      <c r="W7" s="2"/>
      <c r="X7" s="2"/>
      <c r="Y7" s="2"/>
      <c r="Z7" s="2"/>
    </row>
    <row r="8">
      <c r="A8" s="1" t="s">
        <v>1311</v>
      </c>
      <c r="B8" s="1" t="s">
        <v>1271</v>
      </c>
      <c r="C8" s="1" t="s">
        <v>1312</v>
      </c>
      <c r="D8" s="1" t="s">
        <v>1313</v>
      </c>
      <c r="E8" s="1" t="s">
        <v>1314</v>
      </c>
      <c r="F8" s="1" t="s">
        <v>1315</v>
      </c>
      <c r="G8" s="1" t="s">
        <v>1315</v>
      </c>
      <c r="H8" s="1" t="s">
        <v>1316</v>
      </c>
      <c r="I8" s="1" t="s">
        <v>1317</v>
      </c>
      <c r="J8" s="2"/>
      <c r="K8" s="2"/>
      <c r="L8" s="2"/>
      <c r="M8" s="2"/>
      <c r="N8" s="2"/>
      <c r="O8" s="2"/>
      <c r="P8" s="2"/>
      <c r="Q8" s="2"/>
      <c r="R8" s="2"/>
      <c r="S8" s="2"/>
      <c r="T8" s="2"/>
      <c r="U8" s="2"/>
      <c r="V8" s="2"/>
      <c r="W8" s="2"/>
      <c r="X8" s="2"/>
      <c r="Y8" s="2"/>
      <c r="Z8" s="2"/>
    </row>
    <row r="9">
      <c r="A9" s="1" t="s">
        <v>1318</v>
      </c>
      <c r="B9" s="1" t="s">
        <v>1319</v>
      </c>
      <c r="C9" s="1" t="s">
        <v>1320</v>
      </c>
      <c r="D9" s="1" t="s">
        <v>1321</v>
      </c>
      <c r="E9" s="1" t="s">
        <v>1322</v>
      </c>
      <c r="F9" s="1" t="s">
        <v>1323</v>
      </c>
      <c r="G9" s="1" t="s">
        <v>1324</v>
      </c>
      <c r="H9" s="1" t="s">
        <v>1325</v>
      </c>
      <c r="I9" s="1" t="s">
        <v>1326</v>
      </c>
      <c r="J9" s="2"/>
      <c r="K9" s="2"/>
      <c r="L9" s="2"/>
      <c r="M9" s="2"/>
      <c r="N9" s="2"/>
      <c r="O9" s="2"/>
      <c r="P9" s="2"/>
      <c r="Q9" s="2"/>
      <c r="R9" s="2"/>
      <c r="S9" s="2"/>
      <c r="T9" s="2"/>
      <c r="U9" s="2"/>
      <c r="V9" s="2"/>
      <c r="W9" s="2"/>
      <c r="X9" s="2"/>
      <c r="Y9" s="2"/>
      <c r="Z9" s="2"/>
    </row>
    <row r="10">
      <c r="A10" s="1" t="s">
        <v>1327</v>
      </c>
      <c r="B10" s="1" t="s">
        <v>1328</v>
      </c>
      <c r="C10" s="1" t="s">
        <v>1329</v>
      </c>
      <c r="D10" s="1" t="s">
        <v>1330</v>
      </c>
      <c r="E10" s="1" t="s">
        <v>1316</v>
      </c>
      <c r="F10" s="1" t="s">
        <v>1331</v>
      </c>
      <c r="G10" s="1" t="s">
        <v>1332</v>
      </c>
      <c r="H10" s="1" t="s">
        <v>1333</v>
      </c>
      <c r="I10" s="1" t="s">
        <v>1334</v>
      </c>
      <c r="J10" s="2"/>
      <c r="K10" s="2"/>
      <c r="L10" s="2"/>
      <c r="M10" s="2"/>
      <c r="N10" s="2"/>
      <c r="O10" s="2"/>
      <c r="P10" s="2"/>
      <c r="Q10" s="2"/>
      <c r="R10" s="2"/>
      <c r="S10" s="2"/>
      <c r="T10" s="2"/>
      <c r="U10" s="2"/>
      <c r="V10" s="2"/>
      <c r="W10" s="2"/>
      <c r="X10" s="2"/>
      <c r="Y10" s="2"/>
      <c r="Z10" s="2"/>
    </row>
    <row r="11">
      <c r="A11" s="1" t="s">
        <v>1335</v>
      </c>
      <c r="B11" s="1" t="s">
        <v>1336</v>
      </c>
      <c r="C11" s="1" t="s">
        <v>1337</v>
      </c>
      <c r="D11" s="1" t="s">
        <v>1338</v>
      </c>
      <c r="E11" s="1" t="s">
        <v>1339</v>
      </c>
      <c r="F11" s="1" t="s">
        <v>1340</v>
      </c>
      <c r="G11" s="1" t="s">
        <v>1341</v>
      </c>
      <c r="H11" s="1" t="s">
        <v>1342</v>
      </c>
      <c r="I11" s="1" t="s">
        <v>1339</v>
      </c>
      <c r="J11" s="2"/>
      <c r="K11" s="2"/>
      <c r="L11" s="2"/>
      <c r="M11" s="2"/>
      <c r="N11" s="2"/>
      <c r="O11" s="2"/>
      <c r="P11" s="2"/>
      <c r="Q11" s="2"/>
      <c r="R11" s="2"/>
      <c r="S11" s="2"/>
      <c r="T11" s="2"/>
      <c r="U11" s="2"/>
      <c r="V11" s="2"/>
      <c r="W11" s="2"/>
      <c r="X11" s="2"/>
      <c r="Y11" s="2"/>
      <c r="Z11" s="2"/>
    </row>
    <row r="12">
      <c r="A12" s="1" t="s">
        <v>1343</v>
      </c>
      <c r="B12" s="1" t="s">
        <v>1344</v>
      </c>
      <c r="C12" s="1" t="s">
        <v>1345</v>
      </c>
      <c r="D12" s="1" t="s">
        <v>1346</v>
      </c>
      <c r="E12" s="1" t="s">
        <v>1347</v>
      </c>
      <c r="F12" s="1" t="s">
        <v>1348</v>
      </c>
      <c r="G12" s="1" t="s">
        <v>1349</v>
      </c>
      <c r="H12" s="1" t="s">
        <v>1350</v>
      </c>
      <c r="I12" s="1" t="s">
        <v>1351</v>
      </c>
      <c r="J12" s="2"/>
      <c r="K12" s="2"/>
      <c r="L12" s="2"/>
      <c r="M12" s="2"/>
      <c r="N12" s="2"/>
      <c r="O12" s="2"/>
      <c r="P12" s="2"/>
      <c r="Q12" s="2"/>
      <c r="R12" s="2"/>
      <c r="S12" s="2"/>
      <c r="T12" s="2"/>
      <c r="U12" s="2"/>
      <c r="V12" s="2"/>
      <c r="W12" s="2"/>
      <c r="X12" s="2"/>
      <c r="Y12" s="2"/>
      <c r="Z12" s="2"/>
    </row>
    <row r="13">
      <c r="A13" s="1" t="s">
        <v>1352</v>
      </c>
      <c r="B13" s="1" t="s">
        <v>1353</v>
      </c>
      <c r="C13" s="1" t="s">
        <v>1354</v>
      </c>
      <c r="D13" s="1" t="s">
        <v>1355</v>
      </c>
      <c r="E13" s="1" t="s">
        <v>1356</v>
      </c>
      <c r="F13" s="1" t="s">
        <v>1357</v>
      </c>
      <c r="G13" s="1" t="s">
        <v>1358</v>
      </c>
      <c r="H13" s="1" t="s">
        <v>1359</v>
      </c>
      <c r="I13" s="1" t="s">
        <v>1271</v>
      </c>
      <c r="J13" s="2"/>
      <c r="K13" s="2"/>
      <c r="L13" s="2"/>
      <c r="M13" s="2"/>
      <c r="N13" s="2"/>
      <c r="O13" s="2"/>
      <c r="P13" s="2"/>
      <c r="Q13" s="2"/>
      <c r="R13" s="2"/>
      <c r="S13" s="2"/>
      <c r="T13" s="2"/>
      <c r="U13" s="2"/>
      <c r="V13" s="2"/>
      <c r="W13" s="2"/>
      <c r="X13" s="2"/>
      <c r="Y13" s="2"/>
      <c r="Z13" s="2"/>
    </row>
    <row r="14">
      <c r="A14" s="1" t="s">
        <v>1360</v>
      </c>
      <c r="B14" s="1" t="s">
        <v>1361</v>
      </c>
      <c r="C14" s="1" t="s">
        <v>1362</v>
      </c>
      <c r="D14" s="1" t="s">
        <v>1363</v>
      </c>
      <c r="E14" s="1" t="s">
        <v>1364</v>
      </c>
      <c r="F14" s="1" t="s">
        <v>1365</v>
      </c>
      <c r="G14" s="1" t="s">
        <v>1366</v>
      </c>
      <c r="H14" s="1" t="s">
        <v>1367</v>
      </c>
      <c r="I14" s="1" t="s">
        <v>1271</v>
      </c>
      <c r="J14" s="2"/>
      <c r="K14" s="2"/>
      <c r="L14" s="2"/>
      <c r="M14" s="2"/>
      <c r="N14" s="2"/>
      <c r="O14" s="2"/>
      <c r="P14" s="2"/>
      <c r="Q14" s="2"/>
      <c r="R14" s="2"/>
      <c r="S14" s="2"/>
      <c r="T14" s="2"/>
      <c r="U14" s="2"/>
      <c r="V14" s="2"/>
      <c r="W14" s="2"/>
      <c r="X14" s="2"/>
      <c r="Y14" s="2"/>
      <c r="Z14" s="2"/>
    </row>
    <row r="15">
      <c r="A15" s="1" t="s">
        <v>1368</v>
      </c>
      <c r="B15" s="1" t="s">
        <v>1271</v>
      </c>
      <c r="C15" s="1" t="s">
        <v>1271</v>
      </c>
      <c r="D15" s="1" t="s">
        <v>1271</v>
      </c>
      <c r="E15" s="1" t="s">
        <v>1271</v>
      </c>
      <c r="F15" s="1" t="s">
        <v>1271</v>
      </c>
      <c r="G15" s="1" t="s">
        <v>1271</v>
      </c>
      <c r="H15" s="1" t="s">
        <v>1271</v>
      </c>
      <c r="I15" s="1" t="s">
        <v>1271</v>
      </c>
      <c r="J15" s="2"/>
      <c r="K15" s="2"/>
      <c r="L15" s="2"/>
      <c r="M15" s="2"/>
      <c r="N15" s="2"/>
      <c r="O15" s="2"/>
      <c r="P15" s="2"/>
      <c r="Q15" s="2"/>
      <c r="R15" s="2"/>
      <c r="S15" s="2"/>
      <c r="T15" s="2"/>
      <c r="U15" s="2"/>
      <c r="V15" s="2"/>
      <c r="W15" s="2"/>
      <c r="X15" s="2"/>
      <c r="Y15" s="2"/>
      <c r="Z15" s="2"/>
    </row>
    <row r="16">
      <c r="A16" s="1" t="s">
        <v>1369</v>
      </c>
      <c r="B16" s="1" t="s">
        <v>1271</v>
      </c>
      <c r="C16" s="1" t="s">
        <v>1271</v>
      </c>
      <c r="D16" s="1" t="s">
        <v>1271</v>
      </c>
      <c r="E16" s="1" t="s">
        <v>1271</v>
      </c>
      <c r="F16" s="1" t="s">
        <v>1271</v>
      </c>
      <c r="G16" s="1" t="s">
        <v>1271</v>
      </c>
      <c r="H16" s="1" t="s">
        <v>1271</v>
      </c>
      <c r="I16" s="1" t="s">
        <v>1271</v>
      </c>
      <c r="J16" s="2"/>
      <c r="K16" s="2"/>
      <c r="L16" s="2"/>
      <c r="M16" s="2"/>
      <c r="N16" s="2"/>
      <c r="O16" s="2"/>
      <c r="P16" s="2"/>
      <c r="Q16" s="2"/>
      <c r="R16" s="2"/>
      <c r="S16" s="2"/>
      <c r="T16" s="2"/>
      <c r="U16" s="2"/>
      <c r="V16" s="2"/>
      <c r="W16" s="2"/>
      <c r="X16" s="2"/>
      <c r="Y16" s="2"/>
      <c r="Z16" s="2"/>
    </row>
    <row r="17">
      <c r="A17" s="1" t="s">
        <v>1370</v>
      </c>
      <c r="B17" s="1" t="s">
        <v>183</v>
      </c>
      <c r="C17" s="1" t="s">
        <v>184</v>
      </c>
      <c r="D17" s="1" t="s">
        <v>185</v>
      </c>
      <c r="E17" s="1" t="s">
        <v>186</v>
      </c>
      <c r="F17" s="1" t="s">
        <v>187</v>
      </c>
      <c r="G17" s="1" t="s">
        <v>1371</v>
      </c>
      <c r="H17" s="1" t="s">
        <v>1372</v>
      </c>
      <c r="I17" s="1" t="s">
        <v>1373</v>
      </c>
      <c r="J17" s="2"/>
      <c r="K17" s="2"/>
      <c r="L17" s="2"/>
      <c r="M17" s="2"/>
      <c r="N17" s="2"/>
      <c r="O17" s="2"/>
      <c r="P17" s="2"/>
      <c r="Q17" s="2"/>
      <c r="R17" s="2"/>
      <c r="S17" s="2"/>
      <c r="T17" s="2"/>
      <c r="U17" s="2"/>
      <c r="V17" s="2"/>
      <c r="W17" s="2"/>
      <c r="X17" s="2"/>
      <c r="Y17" s="2"/>
      <c r="Z17" s="2"/>
    </row>
    <row r="18">
      <c r="A18" s="1" t="s">
        <v>1374</v>
      </c>
      <c r="B18" s="1" t="s">
        <v>1271</v>
      </c>
      <c r="C18" s="1" t="s">
        <v>1271</v>
      </c>
      <c r="D18" s="1" t="s">
        <v>1271</v>
      </c>
      <c r="E18" s="1" t="s">
        <v>1271</v>
      </c>
      <c r="F18" s="1" t="s">
        <v>1271</v>
      </c>
      <c r="G18" s="1" t="s">
        <v>1271</v>
      </c>
      <c r="H18" s="1" t="s">
        <v>1271</v>
      </c>
      <c r="I18" s="1" t="s">
        <v>1271</v>
      </c>
      <c r="J18" s="2"/>
      <c r="K18" s="2"/>
      <c r="L18" s="2"/>
      <c r="M18" s="2"/>
      <c r="N18" s="2"/>
      <c r="O18" s="2"/>
      <c r="P18" s="2"/>
      <c r="Q18" s="2"/>
      <c r="R18" s="2"/>
      <c r="S18" s="2"/>
      <c r="T18" s="2"/>
      <c r="U18" s="2"/>
      <c r="V18" s="2"/>
      <c r="W18" s="2"/>
      <c r="X18" s="2"/>
      <c r="Y18" s="2"/>
      <c r="Z18" s="2"/>
    </row>
    <row r="19">
      <c r="A19" s="1" t="s">
        <v>1375</v>
      </c>
      <c r="B19" s="1" t="s">
        <v>1376</v>
      </c>
      <c r="C19" s="1" t="s">
        <v>1377</v>
      </c>
      <c r="D19" s="1" t="s">
        <v>1378</v>
      </c>
      <c r="E19" s="1" t="s">
        <v>1379</v>
      </c>
      <c r="F19" s="1" t="s">
        <v>1380</v>
      </c>
      <c r="G19" s="1" t="s">
        <v>1381</v>
      </c>
      <c r="H19" s="1" t="s">
        <v>1382</v>
      </c>
      <c r="I19" s="1" t="s">
        <v>1383</v>
      </c>
      <c r="J19" s="2"/>
      <c r="K19" s="2"/>
      <c r="L19" s="2"/>
      <c r="M19" s="2"/>
      <c r="N19" s="2"/>
      <c r="O19" s="2"/>
      <c r="P19" s="2"/>
      <c r="Q19" s="2"/>
      <c r="R19" s="2"/>
      <c r="S19" s="2"/>
      <c r="T19" s="2"/>
      <c r="U19" s="2"/>
      <c r="V19" s="2"/>
      <c r="W19" s="2"/>
      <c r="X19" s="2"/>
      <c r="Y19" s="2"/>
      <c r="Z19" s="2"/>
    </row>
    <row r="20">
      <c r="A20" s="1" t="s">
        <v>1384</v>
      </c>
      <c r="B20" s="1" t="s">
        <v>1385</v>
      </c>
      <c r="C20" s="1" t="s">
        <v>1386</v>
      </c>
      <c r="D20" s="1" t="s">
        <v>1387</v>
      </c>
      <c r="E20" s="1" t="s">
        <v>1388</v>
      </c>
      <c r="F20" s="1" t="s">
        <v>1389</v>
      </c>
      <c r="G20" s="1" t="s">
        <v>1390</v>
      </c>
      <c r="H20" s="1" t="s">
        <v>1391</v>
      </c>
      <c r="I20" s="1" t="s">
        <v>1392</v>
      </c>
      <c r="J20" s="2"/>
      <c r="K20" s="2"/>
      <c r="L20" s="2"/>
      <c r="M20" s="2"/>
      <c r="N20" s="2"/>
      <c r="O20" s="2"/>
      <c r="P20" s="2"/>
      <c r="Q20" s="2"/>
      <c r="R20" s="2"/>
      <c r="S20" s="2"/>
      <c r="T20" s="2"/>
      <c r="U20" s="2"/>
      <c r="V20" s="2"/>
      <c r="W20" s="2"/>
      <c r="X20" s="2"/>
      <c r="Y20" s="2"/>
      <c r="Z20" s="2"/>
    </row>
    <row r="21" ht="15.75" customHeight="1">
      <c r="A21" s="1" t="s">
        <v>1393</v>
      </c>
      <c r="B21" s="1" t="s">
        <v>1394</v>
      </c>
      <c r="C21" s="1" t="s">
        <v>1395</v>
      </c>
      <c r="D21" s="1" t="s">
        <v>1396</v>
      </c>
      <c r="E21" s="1" t="s">
        <v>1397</v>
      </c>
      <c r="F21" s="1" t="s">
        <v>1398</v>
      </c>
      <c r="G21" s="1" t="s">
        <v>1399</v>
      </c>
      <c r="H21" s="1" t="s">
        <v>1400</v>
      </c>
      <c r="I21" s="1" t="s">
        <v>1401</v>
      </c>
      <c r="J21" s="2"/>
      <c r="K21" s="2"/>
      <c r="L21" s="2"/>
      <c r="M21" s="2"/>
      <c r="N21" s="2"/>
      <c r="O21" s="2"/>
      <c r="P21" s="2"/>
      <c r="Q21" s="2"/>
      <c r="R21" s="2"/>
      <c r="S21" s="2"/>
      <c r="T21" s="2"/>
      <c r="U21" s="2"/>
      <c r="V21" s="2"/>
      <c r="W21" s="2"/>
      <c r="X21" s="2"/>
      <c r="Y21" s="2"/>
      <c r="Z21" s="2"/>
    </row>
    <row r="22" ht="15.75" customHeight="1">
      <c r="A22" s="1" t="s">
        <v>1402</v>
      </c>
      <c r="B22" s="1" t="s">
        <v>1403</v>
      </c>
      <c r="C22" s="1" t="s">
        <v>1404</v>
      </c>
      <c r="D22" s="1" t="s">
        <v>1405</v>
      </c>
      <c r="E22" s="1" t="s">
        <v>1406</v>
      </c>
      <c r="F22" s="1" t="s">
        <v>1407</v>
      </c>
      <c r="G22" s="1" t="s">
        <v>1408</v>
      </c>
      <c r="H22" s="1" t="s">
        <v>603</v>
      </c>
      <c r="I22" s="1" t="s">
        <v>1409</v>
      </c>
      <c r="J22" s="2"/>
      <c r="K22" s="2"/>
      <c r="L22" s="2"/>
      <c r="M22" s="2"/>
      <c r="N22" s="2"/>
      <c r="O22" s="2"/>
      <c r="P22" s="2"/>
      <c r="Q22" s="2"/>
      <c r="R22" s="2"/>
      <c r="S22" s="2"/>
      <c r="T22" s="2"/>
      <c r="U22" s="2"/>
      <c r="V22" s="2"/>
      <c r="W22" s="2"/>
      <c r="X22" s="2"/>
      <c r="Y22" s="2"/>
      <c r="Z22" s="2"/>
    </row>
    <row r="23" ht="15.75" customHeight="1">
      <c r="A23" s="1" t="s">
        <v>1410</v>
      </c>
      <c r="B23" s="1" t="s">
        <v>1411</v>
      </c>
      <c r="C23" s="1" t="s">
        <v>1412</v>
      </c>
      <c r="D23" s="1" t="s">
        <v>1413</v>
      </c>
      <c r="E23" s="1" t="s">
        <v>1414</v>
      </c>
      <c r="F23" s="1" t="s">
        <v>1415</v>
      </c>
      <c r="G23" s="1" t="s">
        <v>1416</v>
      </c>
      <c r="H23" s="1" t="s">
        <v>1417</v>
      </c>
      <c r="I23" s="1" t="s">
        <v>1418</v>
      </c>
      <c r="J23" s="2"/>
      <c r="K23" s="2"/>
      <c r="L23" s="2"/>
      <c r="M23" s="2"/>
      <c r="N23" s="2"/>
      <c r="O23" s="2"/>
      <c r="P23" s="2"/>
      <c r="Q23" s="2"/>
      <c r="R23" s="2"/>
      <c r="S23" s="2"/>
      <c r="T23" s="2"/>
      <c r="U23" s="2"/>
      <c r="V23" s="2"/>
      <c r="W23" s="2"/>
      <c r="X23" s="2"/>
      <c r="Y23" s="2"/>
      <c r="Z23" s="2"/>
    </row>
    <row r="24" ht="15.75" customHeight="1">
      <c r="A24" s="1" t="s">
        <v>1419</v>
      </c>
      <c r="B24" s="1" t="s">
        <v>1420</v>
      </c>
      <c r="C24" s="1" t="s">
        <v>1421</v>
      </c>
      <c r="D24" s="1" t="s">
        <v>1422</v>
      </c>
      <c r="E24" s="1" t="s">
        <v>1423</v>
      </c>
      <c r="F24" s="1" t="s">
        <v>1424</v>
      </c>
      <c r="G24" s="1" t="s">
        <v>1425</v>
      </c>
      <c r="H24" s="1" t="s">
        <v>1425</v>
      </c>
      <c r="I24" s="1" t="s">
        <v>1425</v>
      </c>
      <c r="J24" s="2"/>
      <c r="K24" s="2"/>
      <c r="L24" s="2"/>
      <c r="M24" s="2"/>
      <c r="N24" s="2"/>
      <c r="O24" s="2"/>
      <c r="P24" s="2"/>
      <c r="Q24" s="2"/>
      <c r="R24" s="2"/>
      <c r="S24" s="2"/>
      <c r="T24" s="2"/>
      <c r="U24" s="2"/>
      <c r="V24" s="2"/>
      <c r="W24" s="2"/>
      <c r="X24" s="2"/>
      <c r="Y24" s="2"/>
      <c r="Z24" s="2"/>
    </row>
    <row r="25" ht="15.75" customHeight="1">
      <c r="A25" s="1" t="s">
        <v>1426</v>
      </c>
      <c r="B25" s="1" t="s">
        <v>1427</v>
      </c>
      <c r="C25" s="1" t="s">
        <v>1428</v>
      </c>
      <c r="D25" s="1" t="s">
        <v>1429</v>
      </c>
      <c r="E25" s="1" t="s">
        <v>1430</v>
      </c>
      <c r="F25" s="1" t="s">
        <v>1431</v>
      </c>
      <c r="G25" s="1" t="s">
        <v>1432</v>
      </c>
      <c r="H25" s="1" t="s">
        <v>1271</v>
      </c>
      <c r="I25" s="1" t="s">
        <v>1271</v>
      </c>
      <c r="J25" s="2"/>
      <c r="K25" s="2"/>
      <c r="L25" s="2"/>
      <c r="M25" s="2"/>
      <c r="N25" s="2"/>
      <c r="O25" s="2"/>
      <c r="P25" s="2"/>
      <c r="Q25" s="2"/>
      <c r="R25" s="2"/>
      <c r="S25" s="2"/>
      <c r="T25" s="2"/>
      <c r="U25" s="2"/>
      <c r="V25" s="2"/>
      <c r="W25" s="2"/>
      <c r="X25" s="2"/>
      <c r="Y25" s="2"/>
      <c r="Z25" s="2"/>
    </row>
    <row r="26" ht="15.75" customHeight="1">
      <c r="A26" s="1" t="s">
        <v>1433</v>
      </c>
      <c r="B26" s="1" t="s">
        <v>1434</v>
      </c>
      <c r="C26" s="1" t="s">
        <v>1435</v>
      </c>
      <c r="D26" s="1" t="s">
        <v>1436</v>
      </c>
      <c r="E26" s="1" t="s">
        <v>1437</v>
      </c>
      <c r="F26" s="1" t="s">
        <v>1438</v>
      </c>
      <c r="G26" s="1" t="s">
        <v>1271</v>
      </c>
      <c r="H26" s="1" t="s">
        <v>1271</v>
      </c>
      <c r="I26" s="1" t="s">
        <v>1271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15">
        <v>0.0</v>
      </c>
      <c r="C1" s="2"/>
      <c r="D1" s="2"/>
      <c r="E1" s="2"/>
      <c r="F1" s="2"/>
      <c r="G1" s="2"/>
      <c r="H1" s="2"/>
      <c r="I1" s="2"/>
      <c r="J1" s="2"/>
      <c r="K1" s="2"/>
      <c r="L1" s="2"/>
      <c r="M1" s="2"/>
      <c r="N1" s="2"/>
      <c r="O1" s="2"/>
      <c r="P1" s="2"/>
      <c r="Q1" s="2"/>
      <c r="R1" s="2"/>
      <c r="S1" s="2"/>
      <c r="T1" s="2"/>
      <c r="U1" s="2"/>
      <c r="V1" s="2"/>
      <c r="W1" s="2"/>
      <c r="X1" s="2"/>
      <c r="Y1" s="2"/>
      <c r="Z1" s="2"/>
    </row>
    <row r="2">
      <c r="A2" s="15" t="s">
        <v>1439</v>
      </c>
      <c r="B2" s="1" t="s">
        <v>1440</v>
      </c>
      <c r="C2" s="2"/>
      <c r="D2" s="2"/>
      <c r="E2" s="2"/>
      <c r="F2" s="2"/>
      <c r="G2" s="2"/>
      <c r="H2" s="2"/>
      <c r="I2" s="2"/>
      <c r="J2" s="2"/>
      <c r="K2" s="2"/>
      <c r="L2" s="2"/>
      <c r="M2" s="2"/>
      <c r="N2" s="2"/>
      <c r="O2" s="2"/>
      <c r="P2" s="2"/>
      <c r="Q2" s="2"/>
      <c r="R2" s="2"/>
      <c r="S2" s="2"/>
      <c r="T2" s="2"/>
      <c r="U2" s="2"/>
      <c r="V2" s="2"/>
      <c r="W2" s="2"/>
      <c r="X2" s="2"/>
      <c r="Y2" s="2"/>
      <c r="Z2" s="2"/>
    </row>
    <row r="3">
      <c r="A3" s="15" t="s">
        <v>1441</v>
      </c>
      <c r="B3" s="1" t="s">
        <v>1442</v>
      </c>
      <c r="C3" s="2"/>
      <c r="D3" s="2"/>
      <c r="E3" s="2"/>
      <c r="F3" s="2"/>
      <c r="G3" s="2"/>
      <c r="H3" s="2"/>
      <c r="I3" s="2"/>
      <c r="J3" s="2"/>
      <c r="K3" s="2"/>
      <c r="L3" s="2"/>
      <c r="M3" s="2"/>
      <c r="N3" s="2"/>
      <c r="O3" s="2"/>
      <c r="P3" s="2"/>
      <c r="Q3" s="2"/>
      <c r="R3" s="2"/>
      <c r="S3" s="2"/>
      <c r="T3" s="2"/>
      <c r="U3" s="2"/>
      <c r="V3" s="2"/>
      <c r="W3" s="2"/>
      <c r="X3" s="2"/>
      <c r="Y3" s="2"/>
      <c r="Z3" s="2"/>
    </row>
    <row r="4">
      <c r="A4" s="15" t="s">
        <v>1443</v>
      </c>
      <c r="B4" s="1" t="s">
        <v>1444</v>
      </c>
      <c r="C4" s="2"/>
      <c r="D4" s="2"/>
      <c r="E4" s="2"/>
      <c r="F4" s="2"/>
      <c r="G4" s="2"/>
      <c r="H4" s="2"/>
      <c r="I4" s="2"/>
      <c r="J4" s="2"/>
      <c r="K4" s="2"/>
      <c r="L4" s="2"/>
      <c r="M4" s="2"/>
      <c r="N4" s="2"/>
      <c r="O4" s="2"/>
      <c r="P4" s="2"/>
      <c r="Q4" s="2"/>
      <c r="R4" s="2"/>
      <c r="S4" s="2"/>
      <c r="T4" s="2"/>
      <c r="U4" s="2"/>
      <c r="V4" s="2"/>
      <c r="W4" s="2"/>
      <c r="X4" s="2"/>
      <c r="Y4" s="2"/>
      <c r="Z4" s="2"/>
    </row>
    <row r="5">
      <c r="A5" s="15" t="s">
        <v>1445</v>
      </c>
      <c r="B5" s="1" t="s">
        <v>1446</v>
      </c>
      <c r="C5" s="2"/>
      <c r="D5" s="2"/>
      <c r="E5" s="2"/>
      <c r="F5" s="2"/>
      <c r="G5" s="2"/>
      <c r="H5" s="2"/>
      <c r="I5" s="2"/>
      <c r="J5" s="2"/>
      <c r="K5" s="2"/>
      <c r="L5" s="2"/>
      <c r="M5" s="2"/>
      <c r="N5" s="2"/>
      <c r="O5" s="2"/>
      <c r="P5" s="2"/>
      <c r="Q5" s="2"/>
      <c r="R5" s="2"/>
      <c r="S5" s="2"/>
      <c r="T5" s="2"/>
      <c r="U5" s="2"/>
      <c r="V5" s="2"/>
      <c r="W5" s="2"/>
      <c r="X5" s="2"/>
      <c r="Y5" s="2"/>
      <c r="Z5" s="2"/>
    </row>
    <row r="6">
      <c r="A6" s="15" t="s">
        <v>1447</v>
      </c>
      <c r="B6" s="1" t="s">
        <v>1448</v>
      </c>
      <c r="C6" s="2"/>
      <c r="D6" s="2"/>
      <c r="E6" s="2"/>
      <c r="F6" s="2"/>
      <c r="G6" s="2"/>
      <c r="H6" s="2"/>
      <c r="I6" s="2"/>
      <c r="J6" s="2"/>
      <c r="K6" s="2"/>
      <c r="L6" s="2"/>
      <c r="M6" s="2"/>
      <c r="N6" s="2"/>
      <c r="O6" s="2"/>
      <c r="P6" s="2"/>
      <c r="Q6" s="2"/>
      <c r="R6" s="2"/>
      <c r="S6" s="2"/>
      <c r="T6" s="2"/>
      <c r="U6" s="2"/>
      <c r="V6" s="2"/>
      <c r="W6" s="2"/>
      <c r="X6" s="2"/>
      <c r="Y6" s="2"/>
      <c r="Z6" s="2"/>
    </row>
    <row r="7">
      <c r="A7" s="15" t="s">
        <v>1449</v>
      </c>
      <c r="B7" s="1" t="s">
        <v>11</v>
      </c>
      <c r="C7" s="2"/>
      <c r="D7" s="2"/>
      <c r="E7" s="2"/>
      <c r="F7" s="2"/>
      <c r="G7" s="2"/>
      <c r="H7" s="2"/>
      <c r="I7" s="2"/>
      <c r="J7" s="2"/>
      <c r="K7" s="2"/>
      <c r="L7" s="2"/>
      <c r="M7" s="2"/>
      <c r="N7" s="2"/>
      <c r="O7" s="2"/>
      <c r="P7" s="2"/>
      <c r="Q7" s="2"/>
      <c r="R7" s="2"/>
      <c r="S7" s="2"/>
      <c r="T7" s="2"/>
      <c r="U7" s="2"/>
      <c r="V7" s="2"/>
      <c r="W7" s="2"/>
      <c r="X7" s="2"/>
      <c r="Y7" s="2"/>
      <c r="Z7" s="2"/>
    </row>
    <row r="8">
      <c r="A8" s="15" t="s">
        <v>1450</v>
      </c>
      <c r="B8" s="1" t="s">
        <v>1451</v>
      </c>
      <c r="C8" s="2"/>
      <c r="D8" s="2"/>
      <c r="E8" s="2"/>
      <c r="F8" s="2"/>
      <c r="G8" s="2"/>
      <c r="H8" s="2"/>
      <c r="I8" s="2"/>
      <c r="J8" s="2"/>
      <c r="K8" s="2"/>
      <c r="L8" s="2"/>
      <c r="M8" s="2"/>
      <c r="N8" s="2"/>
      <c r="O8" s="2"/>
      <c r="P8" s="2"/>
      <c r="Q8" s="2"/>
      <c r="R8" s="2"/>
      <c r="S8" s="2"/>
      <c r="T8" s="2"/>
      <c r="U8" s="2"/>
      <c r="V8" s="2"/>
      <c r="W8" s="2"/>
      <c r="X8" s="2"/>
      <c r="Y8" s="2"/>
      <c r="Z8" s="2"/>
    </row>
    <row r="9">
      <c r="A9" s="15" t="s">
        <v>1452</v>
      </c>
      <c r="B9" s="16" t="s">
        <v>1453</v>
      </c>
      <c r="C9" s="2"/>
      <c r="D9" s="2"/>
      <c r="E9" s="2"/>
      <c r="F9" s="2"/>
      <c r="G9" s="2"/>
      <c r="H9" s="2"/>
      <c r="I9" s="2"/>
      <c r="J9" s="2"/>
      <c r="K9" s="2"/>
      <c r="L9" s="2"/>
      <c r="M9" s="2"/>
      <c r="N9" s="2"/>
      <c r="O9" s="2"/>
      <c r="P9" s="2"/>
      <c r="Q9" s="2"/>
      <c r="R9" s="2"/>
      <c r="S9" s="2"/>
      <c r="T9" s="2"/>
      <c r="U9" s="2"/>
      <c r="V9" s="2"/>
      <c r="W9" s="2"/>
      <c r="X9" s="2"/>
      <c r="Y9" s="2"/>
      <c r="Z9" s="2"/>
    </row>
    <row r="10">
      <c r="A10" s="15" t="s">
        <v>1454</v>
      </c>
      <c r="B10" s="1" t="s">
        <v>1455</v>
      </c>
      <c r="C10" s="2"/>
      <c r="D10" s="2"/>
      <c r="E10" s="2"/>
      <c r="F10" s="2"/>
      <c r="G10" s="2"/>
      <c r="H10" s="2"/>
      <c r="I10" s="2"/>
      <c r="J10" s="2"/>
      <c r="K10" s="2"/>
      <c r="L10" s="2"/>
      <c r="M10" s="2"/>
      <c r="N10" s="2"/>
      <c r="O10" s="2"/>
      <c r="P10" s="2"/>
      <c r="Q10" s="2"/>
      <c r="R10" s="2"/>
      <c r="S10" s="2"/>
      <c r="T10" s="2"/>
      <c r="U10" s="2"/>
      <c r="V10" s="2"/>
      <c r="W10" s="2"/>
      <c r="X10" s="2"/>
      <c r="Y10" s="2"/>
      <c r="Z10" s="2"/>
    </row>
    <row r="11">
      <c r="A11" s="15" t="s">
        <v>1456</v>
      </c>
      <c r="B11" s="1" t="s">
        <v>1457</v>
      </c>
      <c r="C11" s="2"/>
      <c r="D11" s="2"/>
      <c r="E11" s="2"/>
      <c r="F11" s="2"/>
      <c r="G11" s="2"/>
      <c r="H11" s="2"/>
      <c r="I11" s="2"/>
      <c r="J11" s="2"/>
      <c r="K11" s="2"/>
      <c r="L11" s="2"/>
      <c r="M11" s="2"/>
      <c r="N11" s="2"/>
      <c r="O11" s="2"/>
      <c r="P11" s="2"/>
      <c r="Q11" s="2"/>
      <c r="R11" s="2"/>
      <c r="S11" s="2"/>
      <c r="T11" s="2"/>
      <c r="U11" s="2"/>
      <c r="V11" s="2"/>
      <c r="W11" s="2"/>
      <c r="X11" s="2"/>
      <c r="Y11" s="2"/>
      <c r="Z11" s="2"/>
    </row>
    <row r="12">
      <c r="A12" s="15" t="s">
        <v>1458</v>
      </c>
      <c r="B12" s="1" t="s">
        <v>1455</v>
      </c>
      <c r="C12" s="2"/>
      <c r="D12" s="2"/>
      <c r="E12" s="2"/>
      <c r="F12" s="2"/>
      <c r="G12" s="2"/>
      <c r="H12" s="2"/>
      <c r="I12" s="2"/>
      <c r="J12" s="2"/>
      <c r="K12" s="2"/>
      <c r="L12" s="2"/>
      <c r="M12" s="2"/>
      <c r="N12" s="2"/>
      <c r="O12" s="2"/>
      <c r="P12" s="2"/>
      <c r="Q12" s="2"/>
      <c r="R12" s="2"/>
      <c r="S12" s="2"/>
      <c r="T12" s="2"/>
      <c r="U12" s="2"/>
      <c r="V12" s="2"/>
      <c r="W12" s="2"/>
      <c r="X12" s="2"/>
      <c r="Y12" s="2"/>
      <c r="Z12" s="2"/>
    </row>
    <row r="13">
      <c r="A13" s="15" t="s">
        <v>1459</v>
      </c>
      <c r="B13" s="1" t="s">
        <v>1460</v>
      </c>
      <c r="C13" s="2"/>
      <c r="D13" s="2"/>
      <c r="E13" s="2"/>
      <c r="F13" s="2"/>
      <c r="G13" s="2"/>
      <c r="H13" s="2"/>
      <c r="I13" s="2"/>
      <c r="J13" s="2"/>
      <c r="K13" s="2"/>
      <c r="L13" s="2"/>
      <c r="M13" s="2"/>
      <c r="N13" s="2"/>
      <c r="O13" s="2"/>
      <c r="P13" s="2"/>
      <c r="Q13" s="2"/>
      <c r="R13" s="2"/>
      <c r="S13" s="2"/>
      <c r="T13" s="2"/>
      <c r="U13" s="2"/>
      <c r="V13" s="2"/>
      <c r="W13" s="2"/>
      <c r="X13" s="2"/>
      <c r="Y13" s="2"/>
      <c r="Z13" s="2"/>
    </row>
    <row r="14">
      <c r="A14" s="15" t="s">
        <v>1461</v>
      </c>
      <c r="B14" s="1" t="s">
        <v>1462</v>
      </c>
      <c r="C14" s="2"/>
      <c r="D14" s="2"/>
      <c r="E14" s="2"/>
      <c r="F14" s="2"/>
      <c r="G14" s="2"/>
      <c r="H14" s="2"/>
      <c r="I14" s="2"/>
      <c r="J14" s="2"/>
      <c r="K14" s="2"/>
      <c r="L14" s="2"/>
      <c r="M14" s="2"/>
      <c r="N14" s="2"/>
      <c r="O14" s="2"/>
      <c r="P14" s="2"/>
      <c r="Q14" s="2"/>
      <c r="R14" s="2"/>
      <c r="S14" s="2"/>
      <c r="T14" s="2"/>
      <c r="U14" s="2"/>
      <c r="V14" s="2"/>
      <c r="W14" s="2"/>
      <c r="X14" s="2"/>
      <c r="Y14" s="2"/>
      <c r="Z14" s="2"/>
    </row>
    <row r="15">
      <c r="A15" s="15" t="s">
        <v>1463</v>
      </c>
      <c r="B15" s="1" t="s">
        <v>1460</v>
      </c>
      <c r="C15" s="2"/>
      <c r="D15" s="2"/>
      <c r="E15" s="2"/>
      <c r="F15" s="2"/>
      <c r="G15" s="2"/>
      <c r="H15" s="2"/>
      <c r="I15" s="2"/>
      <c r="J15" s="2"/>
      <c r="K15" s="2"/>
      <c r="L15" s="2"/>
      <c r="M15" s="2"/>
      <c r="N15" s="2"/>
      <c r="O15" s="2"/>
      <c r="P15" s="2"/>
      <c r="Q15" s="2"/>
      <c r="R15" s="2"/>
      <c r="S15" s="2"/>
      <c r="T15" s="2"/>
      <c r="U15" s="2"/>
      <c r="V15" s="2"/>
      <c r="W15" s="2"/>
      <c r="X15" s="2"/>
      <c r="Y15" s="2"/>
      <c r="Z15" s="2"/>
    </row>
    <row r="16">
      <c r="A16" s="15" t="s">
        <v>1464</v>
      </c>
      <c r="B16" s="1" t="s">
        <v>1465</v>
      </c>
      <c r="C16" s="2"/>
      <c r="D16" s="2"/>
      <c r="E16" s="2"/>
      <c r="F16" s="2"/>
      <c r="G16" s="2"/>
      <c r="H16" s="2"/>
      <c r="I16" s="2"/>
      <c r="J16" s="2"/>
      <c r="K16" s="2"/>
      <c r="L16" s="2"/>
      <c r="M16" s="2"/>
      <c r="N16" s="2"/>
      <c r="O16" s="2"/>
      <c r="P16" s="2"/>
      <c r="Q16" s="2"/>
      <c r="R16" s="2"/>
      <c r="S16" s="2"/>
      <c r="T16" s="2"/>
      <c r="U16" s="2"/>
      <c r="V16" s="2"/>
      <c r="W16" s="2"/>
      <c r="X16" s="2"/>
      <c r="Y16" s="2"/>
      <c r="Z16" s="2"/>
    </row>
    <row r="17">
      <c r="A17" s="15" t="s">
        <v>1466</v>
      </c>
      <c r="B17" s="1">
        <v>3585.0</v>
      </c>
      <c r="C17" s="2"/>
      <c r="D17" s="2"/>
      <c r="E17" s="2"/>
      <c r="F17" s="2"/>
      <c r="G17" s="2"/>
      <c r="H17" s="2"/>
      <c r="I17" s="2"/>
      <c r="J17" s="2"/>
      <c r="K17" s="2"/>
      <c r="L17" s="2"/>
      <c r="M17" s="2"/>
      <c r="N17" s="2"/>
      <c r="O17" s="2"/>
      <c r="P17" s="2"/>
      <c r="Q17" s="2"/>
      <c r="R17" s="2"/>
      <c r="S17" s="2"/>
      <c r="T17" s="2"/>
      <c r="U17" s="2"/>
      <c r="V17" s="2"/>
      <c r="W17" s="2"/>
      <c r="X17" s="2"/>
      <c r="Y17" s="2"/>
      <c r="Z17" s="2"/>
    </row>
    <row r="18">
      <c r="A18" s="15" t="s">
        <v>1467</v>
      </c>
      <c r="B18" s="1" t="s">
        <v>1468</v>
      </c>
      <c r="C18" s="2"/>
      <c r="D18" s="2"/>
      <c r="E18" s="2"/>
      <c r="F18" s="2"/>
      <c r="G18" s="2"/>
      <c r="H18" s="2"/>
      <c r="I18" s="2"/>
      <c r="J18" s="2"/>
      <c r="K18" s="2"/>
      <c r="L18" s="2"/>
      <c r="M18" s="2"/>
      <c r="N18" s="2"/>
      <c r="O18" s="2"/>
      <c r="P18" s="2"/>
      <c r="Q18" s="2"/>
      <c r="R18" s="2"/>
      <c r="S18" s="2"/>
      <c r="T18" s="2"/>
      <c r="U18" s="2"/>
      <c r="V18" s="2"/>
      <c r="W18" s="2"/>
      <c r="X18" s="2"/>
      <c r="Y18" s="2"/>
      <c r="Z18" s="2"/>
    </row>
    <row r="19">
      <c r="A19" s="15" t="s">
        <v>1469</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15" t="s">
        <v>1470</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5" t="s">
        <v>1471</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5" t="s">
        <v>1472</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5" t="s">
        <v>1473</v>
      </c>
      <c r="B23" s="1">
        <v>1.0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5" t="s">
        <v>1474</v>
      </c>
      <c r="B24" s="1">
        <v>1.7330112E9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5" t="s">
        <v>1475</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5" t="s">
        <v>1476</v>
      </c>
      <c r="B26" s="16" t="s">
        <v>1477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5" t="s">
        <v>1478</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5" t="s">
        <v>1479</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5" t="s">
        <v>1480</v>
      </c>
      <c r="B29" s="1">
        <v>23.21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5" t="s">
        <v>1481</v>
      </c>
      <c r="B30" s="1">
        <v>23.1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5" t="s">
        <v>1482</v>
      </c>
      <c r="B31" s="1">
        <v>22.8601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5" t="s">
        <v>1483</v>
      </c>
      <c r="B32" s="1">
        <v>23.5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5" t="s">
        <v>1484</v>
      </c>
      <c r="B33" s="1">
        <v>23.21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5" t="s">
        <v>1485</v>
      </c>
      <c r="B34" s="1">
        <v>23.1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5" t="s">
        <v>1486</v>
      </c>
      <c r="B35" s="1">
        <v>22.8601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5" t="s">
        <v>1487</v>
      </c>
      <c r="B36" s="1">
        <v>23.5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5" t="s">
        <v>1488</v>
      </c>
      <c r="B37" s="1">
        <v>0.131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5" t="s">
        <v>1489</v>
      </c>
      <c r="B38" s="1">
        <v>16.356644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5" t="s">
        <v>1490</v>
      </c>
      <c r="B39" s="1">
        <v>12.891668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5" t="s">
        <v>1491</v>
      </c>
      <c r="B40" s="1">
        <v>312110.0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5" t="s">
        <v>1492</v>
      </c>
      <c r="B41" s="1">
        <v>312110.0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5" t="s">
        <v>1493</v>
      </c>
      <c r="B42" s="1">
        <v>1057712.0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5" t="s">
        <v>1494</v>
      </c>
      <c r="B43" s="1">
        <v>928240.0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5" t="s">
        <v>1495</v>
      </c>
      <c r="B44" s="1">
        <v>928240.0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5" t="s">
        <v>1496</v>
      </c>
      <c r="B45" s="1">
        <v>800.0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5" t="s">
        <v>1497</v>
      </c>
      <c r="B46" s="1">
        <v>1000.0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5" t="s">
        <v>1498</v>
      </c>
      <c r="B47" s="1">
        <v>8.90543808E8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5" t="s">
        <v>1499</v>
      </c>
      <c r="B48" s="1">
        <v>22.47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5" t="s">
        <v>1500</v>
      </c>
      <c r="B49" s="1">
        <v>80.22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5" t="s">
        <v>1501</v>
      </c>
      <c r="B50" s="1">
        <v>0.2903309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5" t="s">
        <v>1502</v>
      </c>
      <c r="B51" s="1">
        <v>30.8836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5" t="s">
        <v>1503</v>
      </c>
      <c r="B52" s="1">
        <v>48.35335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5" t="s">
        <v>1504</v>
      </c>
      <c r="B53" s="1" t="s">
        <v>1505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5" t="s">
        <v>1506</v>
      </c>
      <c r="B54" s="1">
        <v>2.017277184E9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5" t="s">
        <v>1507</v>
      </c>
      <c r="B55" s="1">
        <v>0.01729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5" t="s">
        <v>1508</v>
      </c>
      <c r="B56" s="1">
        <v>3.7770655E7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5" t="s">
        <v>1509</v>
      </c>
      <c r="B57" s="1">
        <v>3.80737E7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5" t="s">
        <v>1510</v>
      </c>
      <c r="B58" s="1">
        <v>4072427.0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5" t="s">
        <v>1511</v>
      </c>
      <c r="B59" s="1">
        <v>4203616.0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5" t="s">
        <v>1512</v>
      </c>
      <c r="B60" s="1">
        <v>1.7303328E9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5" t="s">
        <v>1513</v>
      </c>
      <c r="B61" s="1">
        <v>1.7328384E9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5" t="s">
        <v>1514</v>
      </c>
      <c r="B62" s="1">
        <v>0.107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5" t="s">
        <v>1515</v>
      </c>
      <c r="B63" s="1">
        <v>0.0076599997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15" t="s">
        <v>1516</v>
      </c>
      <c r="B64" s="1">
        <v>1.19756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15" t="s">
        <v>1517</v>
      </c>
      <c r="B65" s="1">
        <v>3.05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5" t="s">
        <v>1518</v>
      </c>
      <c r="B66" s="1">
        <v>0.1496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5" t="s">
        <v>1519</v>
      </c>
      <c r="B67" s="1">
        <v>3.80737E7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15" t="s">
        <v>1520</v>
      </c>
      <c r="B68" s="1">
        <v>23.427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15" t="s">
        <v>1521</v>
      </c>
      <c r="B69" s="1">
        <v>0.9984206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15" t="s">
        <v>1522</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15" t="s">
        <v>1523</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15" t="s">
        <v>1524</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15" t="s">
        <v>1525</v>
      </c>
      <c r="B73" s="1">
        <v>-0.869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15" t="s">
        <v>1526</v>
      </c>
      <c r="B74" s="1">
        <v>5.3043E7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15" t="s">
        <v>1527</v>
      </c>
      <c r="B75" s="1">
        <v>1.43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15" t="s">
        <v>1528</v>
      </c>
      <c r="B76" s="1">
        <v>2.06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15" t="s">
        <v>1529</v>
      </c>
      <c r="B77" s="1">
        <v>0.658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15" t="s">
        <v>1530</v>
      </c>
      <c r="B78" s="1">
        <v>6.518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15" t="s">
        <v>1531</v>
      </c>
      <c r="B79" s="1">
        <v>-0.68863153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15" t="s">
        <v>1532</v>
      </c>
      <c r="B80" s="1">
        <v>0.26272178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5" t="s">
        <v>1533</v>
      </c>
      <c r="B81" s="1" t="s">
        <v>1534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15" t="s">
        <v>1535</v>
      </c>
      <c r="B82" s="1" t="s">
        <v>1536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5" t="s">
        <v>1537</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15" t="s">
        <v>1538</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15" t="s">
        <v>1539</v>
      </c>
      <c r="B85" s="1" t="s">
        <v>1540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5" t="s">
        <v>1541</v>
      </c>
      <c r="B86" s="1" t="s">
        <v>1542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15" t="s">
        <v>1543</v>
      </c>
      <c r="B87" s="1">
        <v>1.0056618E9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5" t="s">
        <v>1544</v>
      </c>
      <c r="B88" s="1" t="s">
        <v>1545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15" t="s">
        <v>1546</v>
      </c>
      <c r="B89" s="1" t="s">
        <v>1547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15" t="s">
        <v>1548</v>
      </c>
      <c r="B90" s="1" t="s">
        <v>1549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15" t="s">
        <v>1550</v>
      </c>
      <c r="B91" s="1" t="s">
        <v>1551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15" t="s">
        <v>1552</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15" t="s">
        <v>1553</v>
      </c>
      <c r="B93" s="1">
        <v>23.39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15" t="s">
        <v>1554</v>
      </c>
      <c r="B94" s="1">
        <v>47.0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15" t="s">
        <v>1555</v>
      </c>
      <c r="B95" s="1">
        <v>27.0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15" t="s">
        <v>1556</v>
      </c>
      <c r="B96" s="1">
        <v>38.85714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15" t="s">
        <v>1557</v>
      </c>
      <c r="B97" s="1">
        <v>40.0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15" t="s">
        <v>1558</v>
      </c>
      <c r="B98" s="1">
        <v>2.66667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15" t="s">
        <v>1559</v>
      </c>
      <c r="B99" s="1" t="s">
        <v>1560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5" t="s">
        <v>1561</v>
      </c>
      <c r="B100" s="1">
        <v>7.0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15" t="s">
        <v>1562</v>
      </c>
      <c r="B101" s="1">
        <v>3.055E7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15" t="s">
        <v>1563</v>
      </c>
      <c r="B102" s="1">
        <v>0.802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5" t="s">
        <v>1564</v>
      </c>
      <c r="B103" s="1">
        <v>3.09486016E8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15" t="s">
        <v>1565</v>
      </c>
      <c r="B104" s="1">
        <v>1.174416E9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15" t="s">
        <v>1566</v>
      </c>
      <c r="B105" s="1">
        <v>1.078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5" t="s">
        <v>1567</v>
      </c>
      <c r="B106" s="1">
        <v>1.181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15" t="s">
        <v>1568</v>
      </c>
      <c r="B107" s="1">
        <v>3.067341056E9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15" t="s">
        <v>1569</v>
      </c>
      <c r="B108" s="1">
        <v>131.858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5" t="s">
        <v>1570</v>
      </c>
      <c r="B109" s="1">
        <v>80.434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15" t="s">
        <v>1571</v>
      </c>
      <c r="B110" s="1">
        <v>0.03148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15" t="s">
        <v>1572</v>
      </c>
      <c r="B111" s="1">
        <v>0.062119998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15" t="s">
        <v>1573</v>
      </c>
      <c r="B112" s="1">
        <v>1.76935632E8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15" t="s">
        <v>1574</v>
      </c>
      <c r="B113" s="1">
        <v>2.06474E8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15" t="s">
        <v>1575</v>
      </c>
      <c r="B114" s="1">
        <v>-0.87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15" t="s">
        <v>1576</v>
      </c>
      <c r="B115" s="1">
        <v>-0.194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15" t="s">
        <v>1577</v>
      </c>
      <c r="B116" s="1">
        <v>0.31340998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15" t="s">
        <v>1578</v>
      </c>
      <c r="B117" s="1">
        <v>0.1009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15" t="s">
        <v>1579</v>
      </c>
      <c r="B118" s="1">
        <v>0.03237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15" t="s">
        <v>1580</v>
      </c>
      <c r="B119" s="1" t="s">
        <v>1505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15" t="s">
        <v>1581</v>
      </c>
      <c r="B120" s="1">
        <v>1.7113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17">
        <v>1.0</v>
      </c>
      <c r="Y1" s="2"/>
      <c r="Z1" s="2"/>
    </row>
    <row r="2">
      <c r="A2" s="2"/>
      <c r="B2" s="15">
        <v>2014.0</v>
      </c>
      <c r="C2" s="15">
        <v>2015.0</v>
      </c>
      <c r="D2" s="15">
        <v>2016.0</v>
      </c>
      <c r="E2" s="15">
        <v>2017.0</v>
      </c>
      <c r="F2" s="15">
        <v>2018.0</v>
      </c>
      <c r="G2" s="15">
        <v>2019.0</v>
      </c>
      <c r="H2" s="15">
        <v>2020.0</v>
      </c>
      <c r="I2" s="15">
        <v>2021.0</v>
      </c>
      <c r="J2" s="15">
        <v>2022.0</v>
      </c>
      <c r="K2" s="15">
        <v>2023.0</v>
      </c>
      <c r="L2" s="15">
        <v>2024.0</v>
      </c>
      <c r="M2" s="15">
        <v>2025.0</v>
      </c>
      <c r="N2" s="15">
        <v>2026.0</v>
      </c>
      <c r="O2" s="15">
        <v>2027.0</v>
      </c>
      <c r="P2" s="15">
        <v>2028.0</v>
      </c>
      <c r="Q2" s="15">
        <v>2029.0</v>
      </c>
      <c r="R2" s="15">
        <v>2030.0</v>
      </c>
      <c r="S2" s="17">
        <v>2031.0</v>
      </c>
      <c r="T2" s="17">
        <v>2032.0</v>
      </c>
      <c r="U2" s="17">
        <v>2033.0</v>
      </c>
      <c r="V2" s="17">
        <v>2034.0</v>
      </c>
      <c r="W2" s="17">
        <v>2035.0</v>
      </c>
      <c r="X2" s="1"/>
      <c r="Y2" s="2"/>
      <c r="Z2" s="2"/>
    </row>
    <row r="3">
      <c r="A3" s="15" t="s">
        <v>61</v>
      </c>
      <c r="B3" s="1">
        <v>7.0</v>
      </c>
      <c r="C3" s="1">
        <v>58.0</v>
      </c>
      <c r="D3" s="1">
        <v>122.0</v>
      </c>
      <c r="E3" s="1">
        <v>124.0</v>
      </c>
      <c r="F3" s="1">
        <v>181.0</v>
      </c>
      <c r="G3" s="1">
        <v>201.0</v>
      </c>
      <c r="H3" s="1">
        <v>191.0</v>
      </c>
      <c r="I3" s="1">
        <v>265.0</v>
      </c>
      <c r="J3" s="1">
        <v>520.0</v>
      </c>
      <c r="K3" s="1">
        <v>305.0</v>
      </c>
      <c r="L3" s="1">
        <f>IF(K3*FORECAST(L2,B3:K3,B2:K2)&gt;0,FORECAST(L2,B3:K3,B2:K2),K3)*$X$1</f>
        <v>425.8</v>
      </c>
      <c r="M3" s="1">
        <f>IF(L3*FORECAST(M2,B3:L3,B2:L2)&gt;0,FORECAST(M2,B3:L3,B2:L2),L3)*$X$1</f>
        <v>467.3272727</v>
      </c>
      <c r="N3" s="1">
        <f>IF(M3*FORECAST(N2,B3:M3,B2:M2)&gt;0,FORECAST(N2,B3:M3,B2:M2),M3)*$X$1</f>
        <v>508.8545455</v>
      </c>
      <c r="O3" s="1">
        <f>IF(N3*FORECAST(O2,B3:N3,B2:N2)&gt;0,FORECAST(O2,B3:N3,B2:N2),N3)*$X$1</f>
        <v>550.3818182</v>
      </c>
      <c r="P3" s="1">
        <f>IF(O3*FORECAST(P2,B3:O3,B2:O2)&gt;0,FORECAST(P2,B3:O3,B2:O2),O3)*$X$1</f>
        <v>591.9090909</v>
      </c>
      <c r="Q3" s="1">
        <f>IF(P3*FORECAST(Q2,B3:P3,B2:P2)&gt;0,FORECAST(Q2,B3:P3,B2:P2),P3)*$X$1</f>
        <v>633.4363636</v>
      </c>
      <c r="R3" s="1">
        <f>IF(Q3*FORECAST(R2,B3:Q3,B2:Q2)&gt;0,FORECAST(R2,B3:Q3,B2:Q2),Q3)*$X$1</f>
        <v>674.9636364</v>
      </c>
      <c r="S3" s="17">
        <f>IF(R3*FORECAST(S2,B3:R3,B2:R2)&gt;0,FORECAST(S2,B3:R3,B2:R2),R3)*$X$1</f>
        <v>716.4909091</v>
      </c>
      <c r="T3" s="17">
        <f>IF(S3*FORECAST(T2,B3:S3,B2:S2)&gt;0,FORECAST(T2,B3:S3,B2:S2),S3)*$X$1</f>
        <v>758.0181818</v>
      </c>
      <c r="U3" s="17">
        <f>IF(T3*FORECAST(U2,B3:T3,B2:T2)&gt;0,FORECAST(U2,B3:T3,B2:T2),T3)*$X$1</f>
        <v>799.5454545</v>
      </c>
      <c r="V3" s="17">
        <f>IF(U3*FORECAST(V2,B3:U3,B2:U2)&gt;0,FORECAST(V2,B3:U3,B2:U2),U3)*$X$1</f>
        <v>841.0727273</v>
      </c>
      <c r="W3" s="17">
        <f>IF(V3*FORECAST(W2,B3:V3,B2:V2)&gt;0,FORECAST(W2,B3:V3,B2:V2),V3)*$X$1</f>
        <v>882.6</v>
      </c>
      <c r="X3" s="2"/>
      <c r="Y3" s="2"/>
      <c r="Z3" s="2"/>
    </row>
    <row r="4">
      <c r="A4" s="15" t="s">
        <v>132</v>
      </c>
      <c r="B4" s="1">
        <v>156.0</v>
      </c>
      <c r="C4" s="1">
        <v>209.0</v>
      </c>
      <c r="D4" s="1">
        <v>352.0</v>
      </c>
      <c r="E4" s="1">
        <v>305.0</v>
      </c>
      <c r="F4" s="1">
        <v>427.0</v>
      </c>
      <c r="G4" s="1">
        <v>639.0</v>
      </c>
      <c r="H4" s="1">
        <v>926.0</v>
      </c>
      <c r="I4" s="1">
        <v>686.0</v>
      </c>
      <c r="J4" s="1">
        <v>796.0</v>
      </c>
      <c r="K4" s="1">
        <v>1320.0</v>
      </c>
      <c r="L4" s="2"/>
      <c r="M4" s="2"/>
      <c r="N4" s="2"/>
      <c r="O4" s="2"/>
      <c r="P4" s="2"/>
      <c r="Q4" s="2"/>
      <c r="R4" s="2"/>
      <c r="S4" s="2"/>
      <c r="T4" s="2"/>
      <c r="U4" s="2"/>
      <c r="V4" s="2"/>
      <c r="W4" s="2"/>
      <c r="X4" s="2"/>
      <c r="Y4" s="2"/>
      <c r="Z4" s="2"/>
    </row>
    <row r="5">
      <c r="A5" s="15" t="s">
        <v>1582</v>
      </c>
      <c r="B5" s="1">
        <v>48.0</v>
      </c>
      <c r="C5" s="1">
        <v>48.0</v>
      </c>
      <c r="D5" s="1">
        <v>49.0</v>
      </c>
      <c r="E5" s="1">
        <v>49.0</v>
      </c>
      <c r="F5" s="1">
        <v>48.0</v>
      </c>
      <c r="G5" s="1">
        <v>47.0</v>
      </c>
      <c r="H5" s="1">
        <v>47.0</v>
      </c>
      <c r="I5" s="1">
        <v>48.0</v>
      </c>
      <c r="J5" s="1">
        <v>44.0</v>
      </c>
      <c r="K5" s="1">
        <v>39.0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1583</v>
      </c>
      <c r="L7" s="1">
        <f>IF(W3*FORECAST(W2,B3:W3,B2:W2)&gt;0,FORECAST(W2,B3:W3,B2:W2),V3)*$X$1 * (1+0.02)/(0.0789-0.02)</f>
        <v>15284.41426</v>
      </c>
      <c r="M7" s="2"/>
      <c r="N7" s="2"/>
      <c r="O7" s="2"/>
      <c r="P7" s="2"/>
      <c r="Q7" s="2"/>
      <c r="R7" s="2"/>
      <c r="S7" s="2"/>
      <c r="T7" s="2"/>
      <c r="U7" s="2"/>
      <c r="V7" s="2"/>
      <c r="W7" s="2"/>
      <c r="X7" s="2"/>
      <c r="Y7" s="2"/>
      <c r="Z7" s="2"/>
    </row>
    <row r="8">
      <c r="A8" s="2"/>
      <c r="B8" s="2"/>
      <c r="C8" s="2"/>
      <c r="D8" s="2"/>
      <c r="E8" s="2"/>
      <c r="F8" s="2"/>
      <c r="G8" s="2"/>
      <c r="H8" s="2"/>
      <c r="I8" s="2"/>
      <c r="J8" s="2"/>
      <c r="K8" s="1" t="s">
        <v>1584</v>
      </c>
      <c r="L8" s="18">
        <f t="array" ref="L8">NPV(0.0789,M3:W3)</f>
        <v>4620.627284</v>
      </c>
      <c r="M8" s="2"/>
      <c r="N8" s="2"/>
      <c r="O8" s="2"/>
      <c r="P8" s="2"/>
      <c r="Q8" s="2"/>
      <c r="R8" s="2"/>
      <c r="S8" s="2"/>
      <c r="T8" s="2"/>
      <c r="U8" s="2"/>
      <c r="V8" s="2"/>
      <c r="W8" s="2"/>
      <c r="X8" s="2"/>
      <c r="Y8" s="2"/>
      <c r="Z8" s="2"/>
    </row>
    <row r="9">
      <c r="A9" s="2"/>
      <c r="B9" s="2"/>
      <c r="C9" s="2"/>
      <c r="D9" s="2"/>
      <c r="E9" s="2"/>
      <c r="F9" s="2"/>
      <c r="G9" s="2"/>
      <c r="H9" s="2"/>
      <c r="I9" s="2"/>
      <c r="J9" s="2"/>
      <c r="K9" s="1" t="s">
        <v>1585</v>
      </c>
      <c r="L9" s="18">
        <f t="array" ref="L9">NPV(0.0789,M16:W16)</f>
        <v>6629.116876</v>
      </c>
      <c r="M9" s="2"/>
      <c r="N9" s="2"/>
      <c r="O9" s="2"/>
      <c r="P9" s="2"/>
      <c r="Q9" s="2"/>
      <c r="R9" s="2"/>
      <c r="S9" s="2"/>
      <c r="T9" s="2"/>
      <c r="U9" s="2"/>
      <c r="V9" s="2"/>
      <c r="W9" s="2"/>
      <c r="X9" s="2"/>
      <c r="Y9" s="2"/>
      <c r="Z9" s="2"/>
    </row>
    <row r="10">
      <c r="A10" s="2"/>
      <c r="B10" s="2"/>
      <c r="C10" s="2"/>
      <c r="D10" s="2"/>
      <c r="E10" s="2"/>
      <c r="F10" s="2"/>
      <c r="G10" s="2"/>
      <c r="H10" s="2"/>
      <c r="I10" s="2"/>
      <c r="J10" s="2"/>
      <c r="K10" s="1" t="s">
        <v>1586</v>
      </c>
      <c r="L10" s="18">
        <f>L8 + L9</f>
        <v>11249.74416</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1320.0</v>
      </c>
      <c r="M11" s="2"/>
      <c r="N11" s="2"/>
      <c r="O11" s="2"/>
      <c r="P11" s="2"/>
      <c r="Q11" s="2"/>
      <c r="R11" s="2"/>
      <c r="S11" s="2"/>
      <c r="T11" s="2"/>
      <c r="U11" s="2"/>
      <c r="V11" s="2"/>
      <c r="W11" s="2"/>
      <c r="X11" s="2"/>
      <c r="Y11" s="2"/>
      <c r="Z11" s="2"/>
    </row>
    <row r="12">
      <c r="A12" s="2"/>
      <c r="B12" s="2"/>
      <c r="C12" s="2"/>
      <c r="D12" s="2"/>
      <c r="E12" s="2"/>
      <c r="F12" s="2"/>
      <c r="G12" s="2"/>
      <c r="H12" s="2"/>
      <c r="I12" s="2"/>
      <c r="J12" s="2"/>
      <c r="K12" s="1" t="s">
        <v>1587</v>
      </c>
      <c r="L12" s="18">
        <f>L10 - L11</f>
        <v>9929.74416</v>
      </c>
      <c r="M12" s="2"/>
      <c r="N12" s="2"/>
      <c r="O12" s="2"/>
      <c r="P12" s="2"/>
      <c r="Q12" s="2"/>
      <c r="R12" s="2"/>
      <c r="S12" s="2"/>
      <c r="T12" s="2"/>
      <c r="U12" s="2"/>
      <c r="V12" s="2"/>
      <c r="W12" s="2"/>
      <c r="X12" s="2"/>
      <c r="Y12" s="2"/>
      <c r="Z12" s="2"/>
    </row>
    <row r="13">
      <c r="A13" s="2"/>
      <c r="B13" s="2"/>
      <c r="C13" s="2"/>
      <c r="D13" s="2"/>
      <c r="E13" s="2"/>
      <c r="F13" s="2"/>
      <c r="G13" s="2"/>
      <c r="H13" s="2"/>
      <c r="I13" s="2"/>
      <c r="J13" s="2"/>
      <c r="K13" s="1" t="s">
        <v>1588</v>
      </c>
      <c r="L13" s="1">
        <v>39.0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8">
        <f>L12/L13</f>
        <v>254.6088246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17">
        <v>0.0</v>
      </c>
      <c r="U16" s="17">
        <v>0.0</v>
      </c>
      <c r="V16" s="17">
        <v>0.0</v>
      </c>
      <c r="W16" s="17">
        <f>IF(W3*FORECAST(W2,B3:W3,B2:W2)&gt;0,FORECAST(W2,B3:W3,B2:W2),V3)*$X$1 * (1+0.02)/(0.0789-0.02)</f>
        <v>15284.41426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