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ecember" sheetId="9" r:id="rId12"/>
    <sheet state="visible" name="DCF-NET" sheetId="10" r:id="rId13"/>
  </sheets>
  <definedNames/>
  <calcPr/>
</workbook>
</file>

<file path=xl/sharedStrings.xml><?xml version="1.0" encoding="utf-8"?>
<sst xmlns="http://schemas.openxmlformats.org/spreadsheetml/2006/main" count="1938" uniqueCount="1639">
  <si>
    <t>ticker</t>
  </si>
  <si>
    <t>AIZ</t>
  </si>
  <si>
    <t>nombre</t>
  </si>
  <si>
    <t>ASSURANT INC</t>
  </si>
  <si>
    <t>empresa</t>
  </si>
  <si>
    <t>Multiline Insurance &amp; Brokers</t>
  </si>
  <si>
    <t>Open</t>
  </si>
  <si>
    <t>Target Price</t>
  </si>
  <si>
    <t>Upside</t>
  </si>
  <si>
    <t>700.06%</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</si>
  <si>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</si>
  <si>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</si>
  <si>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</si>
  <si>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</si>
  <si>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</si>
  <si>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</si>
  <si>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</si>
  <si>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</si>
  <si>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</si>
  <si>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</si>
  <si>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</si>
  <si>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</si>
  <si>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</si>
  <si>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</si>
  <si>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Deferred Policy Acquisition Costs - (CF)</t>
  </si>
  <si>
    <t>Restructuring Activities</t>
  </si>
  <si>
    <t>(Income) Loss On Equity Investments - (CF)</t>
  </si>
  <si>
    <t>Stock-Based Compensation (CF)</t>
  </si>
  <si>
    <t>Change in Trading Asset Securities</t>
  </si>
  <si>
    <t>Change in Accounts Receivable</t>
  </si>
  <si>
    <t>Reinsurance Recoverable - (CF)</t>
  </si>
  <si>
    <t>Change In Inventories</t>
  </si>
  <si>
    <t>Change in Accounts Payable</t>
  </si>
  <si>
    <t>Reinsurance Payable - (CF)</t>
  </si>
  <si>
    <t>Change In Income Taxes</t>
  </si>
  <si>
    <t>Change in insurance Reserves / Liabilities</t>
  </si>
  <si>
    <t>Change in Other Net Operating Assets (Collected)</t>
  </si>
  <si>
    <t>Net Cash From Discontinued Operations</t>
  </si>
  <si>
    <t>Other Operating Activities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</si>
  <si>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</si>
  <si>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</si>
  <si>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</si>
  <si>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</si>
  <si>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</si>
  <si>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</si>
  <si>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</si>
  <si>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</si>
  <si>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</si>
  <si>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</si>
  <si>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</si>
  <si>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</si>
  <si>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</si>
  <si>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</si>
  <si>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</si>
  <si>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</si>
  <si>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</si>
  <si>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</si>
  <si>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</si>
  <si>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</si>
  <si>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</si>
  <si>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</si>
  <si>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</si>
  <si>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</si>
  <si>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</si>
  <si>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</si>
  <si>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</si>
  <si>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</si>
  <si>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</si>
  <si>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</si>
  <si>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</si>
  <si>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</si>
  <si>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</si>
  <si>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</si>
  <si>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</si>
  <si>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</si>
  <si>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</si>
  <si>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</si>
  <si>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</si>
  <si>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</si>
  <si>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</si>
  <si>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</si>
  <si>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</si>
  <si>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</si>
  <si>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</si>
  <si>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</si>
  <si>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</si>
  <si>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</si>
  <si>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</si>
  <si>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Other Current Assets, Total</t>
  </si>
  <si>
    <t>Other Long-Term Assets, Total</t>
  </si>
  <si>
    <t>Total Assets</t>
  </si>
  <si>
    <t>Liabilities</t>
  </si>
  <si>
    <t>Accounts Payable, Total</t>
  </si>
  <si>
    <t>Accrued Expenses, Total</t>
  </si>
  <si>
    <t>Insurance And Annuity Liabilities</t>
  </si>
  <si>
    <t>Unpaid Claims</t>
  </si>
  <si>
    <t>Unearned Premiums</t>
  </si>
  <si>
    <t>Reinsurance Payable - (BS)</t>
  </si>
  <si>
    <t>Current Portion of Long-Term Debt</t>
  </si>
  <si>
    <t>Current Portion of Leases</t>
  </si>
  <si>
    <t>Short-Term Borrowings</t>
  </si>
  <si>
    <t>Long-Term Debt</t>
  </si>
  <si>
    <t>Long-Term Leases</t>
  </si>
  <si>
    <t>Separate Account Liability</t>
  </si>
  <si>
    <t>Other Current Liabilities - (Brok / FS / Ins. / REIT Template)</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</si>
  <si>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</si>
  <si>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</si>
  <si>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</si>
  <si>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</si>
  <si>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</si>
  <si>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</si>
  <si>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</si>
  <si>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</si>
  <si>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</si>
  <si>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</si>
  <si>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</si>
  <si>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</si>
  <si>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</si>
  <si>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</si>
  <si>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</si>
  <si>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</si>
  <si>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</si>
  <si>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74.77</t>
  </si>
  <si>
    <t>68.7</t>
  </si>
  <si>
    <t>73.26</t>
  </si>
  <si>
    <t>81.47</t>
  </si>
  <si>
    <t>82.53</t>
  </si>
  <si>
    <t>94.25</t>
  </si>
  <si>
    <t>102.62</t>
  </si>
  <si>
    <t>98.46</t>
  </si>
  <si>
    <t>80.04</t>
  </si>
  <si>
    <t>92.57</t>
  </si>
  <si>
    <t>Tangible Book Value</t>
  </si>
  <si>
    <t>Tangible Book Value Per Share</t>
  </si>
  <si>
    <t>57.12</t>
  </si>
  <si>
    <t>51.83</t>
  </si>
  <si>
    <t>54.11</t>
  </si>
  <si>
    <t>58.46</t>
  </si>
  <si>
    <t>34.97</t>
  </si>
  <si>
    <t>46.15</t>
  </si>
  <si>
    <t>45.94</t>
  </si>
  <si>
    <t>39.44</t>
  </si>
  <si>
    <t>18.68</t>
  </si>
  <si>
    <t>31.44</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</si>
  <si>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</si>
  <si>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</si>
  <si>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</si>
  <si>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</si>
  <si>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</si>
  <si>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</si>
  <si>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</si>
  <si>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</si>
  <si>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</si>
  <si>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</si>
  <si>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</si>
  <si>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</si>
  <si>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</si>
  <si>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</si>
  <si>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</si>
  <si>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</si>
  <si>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</si>
  <si>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</si>
  <si>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Depreciation &amp; Amortization - (IS) - (Collected)</t>
  </si>
  <si>
    <t>Salaries And Other Employee Benefits</t>
  </si>
  <si>
    <t>Other Operating Expenses</t>
  </si>
  <si>
    <t>Total Operating Expenses</t>
  </si>
  <si>
    <t>Operating Income</t>
  </si>
  <si>
    <t>Interest Expense, Total</t>
  </si>
  <si>
    <t>EBT, Excl. Unusual Items</t>
  </si>
  <si>
    <t>Restructuring Charges</t>
  </si>
  <si>
    <t>Total 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</si>
  <si>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</si>
  <si>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</si>
  <si>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</si>
  <si>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</si>
  <si>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</si>
  <si>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</si>
  <si>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</si>
  <si>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</si>
  <si>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</si>
  <si>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</si>
  <si>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</si>
  <si>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</si>
  <si>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</si>
  <si>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</si>
  <si>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</si>
  <si>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6.52</t>
  </si>
  <si>
    <t>2.08</t>
  </si>
  <si>
    <t>9.23</t>
  </si>
  <si>
    <t>9.45</t>
  </si>
  <si>
    <t>5.87</t>
  </si>
  <si>
    <t>7.04</t>
  </si>
  <si>
    <t>23.13</t>
  </si>
  <si>
    <t>5.09</t>
  </si>
  <si>
    <t>12.02</t>
  </si>
  <si>
    <t>Basic EPS - Continuing Operations</t>
  </si>
  <si>
    <t>10.29</t>
  </si>
  <si>
    <t>Basic Weighted Average Shares Outstanding</t>
  </si>
  <si>
    <t>Net EPS - Diluted</t>
  </si>
  <si>
    <t>6.44</t>
  </si>
  <si>
    <t>2.05</t>
  </si>
  <si>
    <t>9.13</t>
  </si>
  <si>
    <t>9.39</t>
  </si>
  <si>
    <t>3.98</t>
  </si>
  <si>
    <t>5.84</t>
  </si>
  <si>
    <t>6.99</t>
  </si>
  <si>
    <t>22.83</t>
  </si>
  <si>
    <t>5.05</t>
  </si>
  <si>
    <t>11.95</t>
  </si>
  <si>
    <t>Diluted EPS - Continuing Operations</t>
  </si>
  <si>
    <t>10.2</t>
  </si>
  <si>
    <t>Diluted Weighted Average Shares Outstanding</t>
  </si>
  <si>
    <t>Normalized Basic EPS</t>
  </si>
  <si>
    <t>1.84</t>
  </si>
  <si>
    <t>8.76</t>
  </si>
  <si>
    <t>4.35</t>
  </si>
  <si>
    <t>6.29</t>
  </si>
  <si>
    <t>6.94</t>
  </si>
  <si>
    <t>8.51</t>
  </si>
  <si>
    <t>4.73</t>
  </si>
  <si>
    <t>9.83</t>
  </si>
  <si>
    <t>Normalized Diluted EPS</t>
  </si>
  <si>
    <t>6.36</t>
  </si>
  <si>
    <t>1.82</t>
  </si>
  <si>
    <t>8.67</t>
  </si>
  <si>
    <t>5.02</t>
  </si>
  <si>
    <t>4.33</t>
  </si>
  <si>
    <t>6.25</t>
  </si>
  <si>
    <t>6.61</t>
  </si>
  <si>
    <t>8.37</t>
  </si>
  <si>
    <t>4.7</t>
  </si>
  <si>
    <t>9.77</t>
  </si>
  <si>
    <t>Dividend Per Share</t>
  </si>
  <si>
    <t>1.06</t>
  </si>
  <si>
    <t>1.37</t>
  </si>
  <si>
    <t>2.03</t>
  </si>
  <si>
    <t>2.15</t>
  </si>
  <si>
    <t>2.28</t>
  </si>
  <si>
    <t>2.43</t>
  </si>
  <si>
    <t>2.55</t>
  </si>
  <si>
    <t>2.66</t>
  </si>
  <si>
    <t>2.74</t>
  </si>
  <si>
    <t>2.82</t>
  </si>
  <si>
    <t>Payout Ratio</t>
  </si>
  <si>
    <t>16.46</t>
  </si>
  <si>
    <t>66.52</t>
  </si>
  <si>
    <t>22.17</t>
  </si>
  <si>
    <t>22.9</t>
  </si>
  <si>
    <t>58.96</t>
  </si>
  <si>
    <t>44.43</t>
  </si>
  <si>
    <t>39.23</t>
  </si>
  <si>
    <t>11.83</t>
  </si>
  <si>
    <t>54.3</t>
  </si>
  <si>
    <t>23.7</t>
  </si>
  <si>
    <t>EBITDA</t>
  </si>
  <si>
    <t>EBITA</t>
  </si>
  <si>
    <t>EBIT</t>
  </si>
  <si>
    <t>EBITDAR</t>
  </si>
  <si>
    <t>Total Revenues (As Reported)</t>
  </si>
  <si>
    <t>Effective Tax Rate - (Ratio)</t>
  </si>
  <si>
    <t>36.72</t>
  </si>
  <si>
    <t>29.64</t>
  </si>
  <si>
    <t>33.38</t>
  </si>
  <si>
    <t>-16.9</t>
  </si>
  <si>
    <t>24.26</t>
  </si>
  <si>
    <t>30.24</t>
  </si>
  <si>
    <t>14.09</t>
  </si>
  <si>
    <t>21.65</t>
  </si>
  <si>
    <t>20.95</t>
  </si>
  <si>
    <t>20.36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</si>
  <si>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</si>
  <si>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</si>
  <si>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</si>
  <si>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</si>
  <si>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</si>
  <si>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</si>
  <si>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</si>
  <si>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</si>
  <si>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</si>
  <si>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</si>
  <si>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</si>
  <si>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</si>
  <si>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</si>
  <si>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</si>
  <si>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</si>
  <si>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</si>
  <si>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</si>
  <si>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1.64</t>
  </si>
  <si>
    <t>0.52</t>
  </si>
  <si>
    <t>1.92</t>
  </si>
  <si>
    <t>0.88</t>
  </si>
  <si>
    <t>1.08</t>
  </si>
  <si>
    <t>1.09</t>
  </si>
  <si>
    <t>1.46</t>
  </si>
  <si>
    <t>0.97</t>
  </si>
  <si>
    <t>1.78</t>
  </si>
  <si>
    <t>Return on Total Capital</t>
  </si>
  <si>
    <t>7.71</t>
  </si>
  <si>
    <t>2.64</t>
  </si>
  <si>
    <t>10.55</t>
  </si>
  <si>
    <t>5.63</t>
  </si>
  <si>
    <t>4.52</t>
  </si>
  <si>
    <t>5.19</t>
  </si>
  <si>
    <t>5.48</t>
  </si>
  <si>
    <t>7.15</t>
  </si>
  <si>
    <t>4.6</t>
  </si>
  <si>
    <t>8.9</t>
  </si>
  <si>
    <t>Return On Equity %</t>
  </si>
  <si>
    <t>9.4</t>
  </si>
  <si>
    <t>2.92</t>
  </si>
  <si>
    <t>13.11</t>
  </si>
  <si>
    <t>12.4</t>
  </si>
  <si>
    <t>5.37</t>
  </si>
  <si>
    <t>7.61</t>
  </si>
  <si>
    <t>10.72</t>
  </si>
  <si>
    <t>5.71</t>
  </si>
  <si>
    <t>14.22</t>
  </si>
  <si>
    <t>Return on Common Equity</t>
  </si>
  <si>
    <t>12.42</t>
  </si>
  <si>
    <t>6.76</t>
  </si>
  <si>
    <t>7.3</t>
  </si>
  <si>
    <t>10.64</t>
  </si>
  <si>
    <t>Margin Analysis</t>
  </si>
  <si>
    <t>Gross Profit Margin %</t>
  </si>
  <si>
    <t>17.39</t>
  </si>
  <si>
    <t>12.26</t>
  </si>
  <si>
    <t>18.28</t>
  </si>
  <si>
    <t>11.03</t>
  </si>
  <si>
    <t>9.75</t>
  </si>
  <si>
    <t>9.41</t>
  </si>
  <si>
    <t>10.03</t>
  </si>
  <si>
    <t>11.4</t>
  </si>
  <si>
    <t>7.01</t>
  </si>
  <si>
    <t>10.46</t>
  </si>
  <si>
    <t>SG&amp;A Margin</t>
  </si>
  <si>
    <t>-0.18</t>
  </si>
  <si>
    <t>-0.21</t>
  </si>
  <si>
    <t>EBITDA Margin %</t>
  </si>
  <si>
    <t>3.81</t>
  </si>
  <si>
    <t>13.88</t>
  </si>
  <si>
    <t>9.5</t>
  </si>
  <si>
    <t>7.97</t>
  </si>
  <si>
    <t>8.73</t>
  </si>
  <si>
    <t>9.11</t>
  </si>
  <si>
    <t>10.69</t>
  </si>
  <si>
    <t>6.89</t>
  </si>
  <si>
    <t>EBITA Margin %</t>
  </si>
  <si>
    <t>8.35</t>
  </si>
  <si>
    <t>3.18</t>
  </si>
  <si>
    <t>12.81</t>
  </si>
  <si>
    <t>8.83</t>
  </si>
  <si>
    <t>7.36</t>
  </si>
  <si>
    <t>8.09</t>
  </si>
  <si>
    <t>8.41</t>
  </si>
  <si>
    <t>9.88</t>
  </si>
  <si>
    <t>6.03</t>
  </si>
  <si>
    <t>EBIT Margin %</t>
  </si>
  <si>
    <t>7.73</t>
  </si>
  <si>
    <t>2.48</t>
  </si>
  <si>
    <t>12.21</t>
  </si>
  <si>
    <t>7.7</t>
  </si>
  <si>
    <t>6.39</t>
  </si>
  <si>
    <t>7.46</t>
  </si>
  <si>
    <t>7.68</t>
  </si>
  <si>
    <t>5.1</t>
  </si>
  <si>
    <t>8.53</t>
  </si>
  <si>
    <t>Income From Continuing Operations Margin %</t>
  </si>
  <si>
    <t>4.54</t>
  </si>
  <si>
    <t>7.54</t>
  </si>
  <si>
    <t>8.1</t>
  </si>
  <si>
    <t>3.13</t>
  </si>
  <si>
    <t>3.9</t>
  </si>
  <si>
    <t>4.39</t>
  </si>
  <si>
    <t>6.02</t>
  </si>
  <si>
    <t>2.71</t>
  </si>
  <si>
    <t>5.77</t>
  </si>
  <si>
    <t>Net Income Margin %</t>
  </si>
  <si>
    <t>3.12</t>
  </si>
  <si>
    <t>3.86</t>
  </si>
  <si>
    <t>4.38</t>
  </si>
  <si>
    <t>13.47</t>
  </si>
  <si>
    <t>Net Avail. For Common Margin %</t>
  </si>
  <si>
    <t>2.94</t>
  </si>
  <si>
    <t>3.67</t>
  </si>
  <si>
    <t>4.2</t>
  </si>
  <si>
    <t>5.98</t>
  </si>
  <si>
    <t>Normalized Net Income Margin</t>
  </si>
  <si>
    <t>4.48</t>
  </si>
  <si>
    <t>1.22</t>
  </si>
  <si>
    <t>3.2</t>
  </si>
  <si>
    <t>3.92</t>
  </si>
  <si>
    <t>4.14</t>
  </si>
  <si>
    <t>4.94</t>
  </si>
  <si>
    <t>2.52</t>
  </si>
  <si>
    <t>4.72</t>
  </si>
  <si>
    <t>Levered Free Cash Flow Margin</t>
  </si>
  <si>
    <t>-0.23</t>
  </si>
  <si>
    <t>-6.2</t>
  </si>
  <si>
    <t>-15.38</t>
  </si>
  <si>
    <t>106.27</t>
  </si>
  <si>
    <t>15.04</t>
  </si>
  <si>
    <t>33.51</t>
  </si>
  <si>
    <t>6.96</t>
  </si>
  <si>
    <t>Unlevered Free Cash Flow Margin</t>
  </si>
  <si>
    <t>0.12</t>
  </si>
  <si>
    <t>-5.87</t>
  </si>
  <si>
    <t>-14.9</t>
  </si>
  <si>
    <t>8.89</t>
  </si>
  <si>
    <t>107.04</t>
  </si>
  <si>
    <t>15.73</t>
  </si>
  <si>
    <t>13.65</t>
  </si>
  <si>
    <t>34.19</t>
  </si>
  <si>
    <t>7.63</t>
  </si>
  <si>
    <t>9.6</t>
  </si>
  <si>
    <t>Asset Turnover</t>
  </si>
  <si>
    <t>0.34</t>
  </si>
  <si>
    <t>0.25</t>
  </si>
  <si>
    <t>0.21</t>
  </si>
  <si>
    <t>0.22</t>
  </si>
  <si>
    <t>0.23</t>
  </si>
  <si>
    <t>0.26</t>
  </si>
  <si>
    <t>0.3</t>
  </si>
  <si>
    <t>0.33</t>
  </si>
  <si>
    <t>Fixed Assets Turnover</t>
  </si>
  <si>
    <t>39.08</t>
  </si>
  <si>
    <t>35.85</t>
  </si>
  <si>
    <t>23.37</t>
  </si>
  <si>
    <t>18.56</t>
  </si>
  <si>
    <t>21.77</t>
  </si>
  <si>
    <t>22.16</t>
  </si>
  <si>
    <t>18.95</t>
  </si>
  <si>
    <t>18.16</t>
  </si>
  <si>
    <t>15.88</t>
  </si>
  <si>
    <t>16.09</t>
  </si>
  <si>
    <t>Receivables Turnover (Average Receivables)</t>
  </si>
  <si>
    <t>8.65</t>
  </si>
  <si>
    <t>7.78</t>
  </si>
  <si>
    <t>5.17</t>
  </si>
  <si>
    <t>4.47</t>
  </si>
  <si>
    <t>5.04</t>
  </si>
  <si>
    <t>5.47</t>
  </si>
  <si>
    <t>5.32</t>
  </si>
  <si>
    <t>4.41</t>
  </si>
  <si>
    <t>Short Term Liquidity</t>
  </si>
  <si>
    <t>Current Ratio</t>
  </si>
  <si>
    <t>0.77</t>
  </si>
  <si>
    <t>0.82</t>
  </si>
  <si>
    <t>0.94</t>
  </si>
  <si>
    <t>0.93</t>
  </si>
  <si>
    <t>0.59</t>
  </si>
  <si>
    <t>0.6</t>
  </si>
  <si>
    <t>0.45</t>
  </si>
  <si>
    <t>0.42</t>
  </si>
  <si>
    <t>Quick Ratio</t>
  </si>
  <si>
    <t>0.24</t>
  </si>
  <si>
    <t>0.2</t>
  </si>
  <si>
    <t>0.16</t>
  </si>
  <si>
    <t>0.17</t>
  </si>
  <si>
    <t>Operating Cash Flow to Current Liabilities</t>
  </si>
  <si>
    <t>0.03</t>
  </si>
  <si>
    <t>0.02</t>
  </si>
  <si>
    <t>0.01</t>
  </si>
  <si>
    <t>0.04</t>
  </si>
  <si>
    <t>0.06</t>
  </si>
  <si>
    <t>Days Sales Outstanding (Average Receivables)</t>
  </si>
  <si>
    <t>42.22</t>
  </si>
  <si>
    <t>46.93</t>
  </si>
  <si>
    <t>70.8</t>
  </si>
  <si>
    <t>81.69</t>
  </si>
  <si>
    <t>72.36</t>
  </si>
  <si>
    <t>66.76</t>
  </si>
  <si>
    <t>63.39</t>
  </si>
  <si>
    <t>68.58</t>
  </si>
  <si>
    <t>83.25</t>
  </si>
  <si>
    <t>82.82</t>
  </si>
  <si>
    <t>Average Days Payable Outstanding</t>
  </si>
  <si>
    <t>247.9</t>
  </si>
  <si>
    <t>250.67</t>
  </si>
  <si>
    <t>347.58</t>
  </si>
  <si>
    <t>371.13</t>
  </si>
  <si>
    <t>294.61</t>
  </si>
  <si>
    <t>232.96</t>
  </si>
  <si>
    <t>238.98</t>
  </si>
  <si>
    <t>200.67</t>
  </si>
  <si>
    <t>208.78</t>
  </si>
  <si>
    <t>200.43</t>
  </si>
  <si>
    <t>Long Term Solvency</t>
  </si>
  <si>
    <t>Total Debt/Equity</t>
  </si>
  <si>
    <t>24.45</t>
  </si>
  <si>
    <t>25.89</t>
  </si>
  <si>
    <t>26.04</t>
  </si>
  <si>
    <t>35.48</t>
  </si>
  <si>
    <t>64.72</t>
  </si>
  <si>
    <t>64.88</t>
  </si>
  <si>
    <t>39.14</t>
  </si>
  <si>
    <t>41.22</t>
  </si>
  <si>
    <t>51.31</t>
  </si>
  <si>
    <t>43.99</t>
  </si>
  <si>
    <t>Total Debt / Total Capital</t>
  </si>
  <si>
    <t>19.65</t>
  </si>
  <si>
    <t>20.57</t>
  </si>
  <si>
    <t>20.66</t>
  </si>
  <si>
    <t>26.19</t>
  </si>
  <si>
    <t>39.29</t>
  </si>
  <si>
    <t>39.35</t>
  </si>
  <si>
    <t>28.13</t>
  </si>
  <si>
    <t>29.19</t>
  </si>
  <si>
    <t>33.91</t>
  </si>
  <si>
    <t>30.55</t>
  </si>
  <si>
    <t>LT Debt/Equity</t>
  </si>
  <si>
    <t>22.6</t>
  </si>
  <si>
    <t>64.52</t>
  </si>
  <si>
    <t>37.91</t>
  </si>
  <si>
    <t>40.91</t>
  </si>
  <si>
    <t>45.62</t>
  </si>
  <si>
    <t>43.67</t>
  </si>
  <si>
    <t>Long-Term Debt / Total Capital</t>
  </si>
  <si>
    <t>39.13</t>
  </si>
  <si>
    <t>27.25</t>
  </si>
  <si>
    <t>28.97</t>
  </si>
  <si>
    <t>30.15</t>
  </si>
  <si>
    <t>30.32</t>
  </si>
  <si>
    <t>Total Liabilities / Total Assets</t>
  </si>
  <si>
    <t>83.58</t>
  </si>
  <si>
    <t>84.94</t>
  </si>
  <si>
    <t>86.21</t>
  </si>
  <si>
    <t>86.55</t>
  </si>
  <si>
    <t>87.51</t>
  </si>
  <si>
    <t>87.17</t>
  </si>
  <si>
    <t>86.66</t>
  </si>
  <si>
    <t>83.81</t>
  </si>
  <si>
    <t>87.23</t>
  </si>
  <si>
    <t>85.7</t>
  </si>
  <si>
    <t>EBIT / Interest Expense</t>
  </si>
  <si>
    <t>13.74</t>
  </si>
  <si>
    <t>4.65</t>
  </si>
  <si>
    <t>15.9</t>
  </si>
  <si>
    <t>9.98</t>
  </si>
  <si>
    <t>5.13</t>
  </si>
  <si>
    <t>6.69</t>
  </si>
  <si>
    <t>7.4</t>
  </si>
  <si>
    <t>8.2</t>
  </si>
  <si>
    <t>4.8</t>
  </si>
  <si>
    <t>8.79</t>
  </si>
  <si>
    <t>EBITDA / Interest Expense</t>
  </si>
  <si>
    <t>16.01</t>
  </si>
  <si>
    <t>7.14</t>
  </si>
  <si>
    <t>18.08</t>
  </si>
  <si>
    <t>12.32</t>
  </si>
  <si>
    <t>6.4</t>
  </si>
  <si>
    <t>8.07</t>
  </si>
  <si>
    <t>9.04</t>
  </si>
  <si>
    <t>9.97</t>
  </si>
  <si>
    <t>6.66</t>
  </si>
  <si>
    <t>10.79</t>
  </si>
  <si>
    <t>(EBITDA - Capex) / Interest Expense</t>
  </si>
  <si>
    <t>14.58</t>
  </si>
  <si>
    <t>16.6</t>
  </si>
  <si>
    <t>11.06</t>
  </si>
  <si>
    <t>5.57</t>
  </si>
  <si>
    <t>7.07</t>
  </si>
  <si>
    <t>7.89</t>
  </si>
  <si>
    <t>8.3</t>
  </si>
  <si>
    <t>8.92</t>
  </si>
  <si>
    <t>Total Debt / EBITDA</t>
  </si>
  <si>
    <t>1.36</t>
  </si>
  <si>
    <t>2.98</t>
  </si>
  <si>
    <t>1.02</t>
  </si>
  <si>
    <t>2.49</t>
  </si>
  <si>
    <t>5.18</t>
  </si>
  <si>
    <t>4.13</t>
  </si>
  <si>
    <t>2.47</t>
  </si>
  <si>
    <t>3.01</t>
  </si>
  <si>
    <t>Net Debt / EBITDA</t>
  </si>
  <si>
    <t>-0.06</t>
  </si>
  <si>
    <t>-0.3</t>
  </si>
  <si>
    <t>0.74</t>
  </si>
  <si>
    <t>0.11</t>
  </si>
  <si>
    <t>Total Debt / (EBITDA - Capex)</t>
  </si>
  <si>
    <t>1.49</t>
  </si>
  <si>
    <t>4.21</t>
  </si>
  <si>
    <t>1.12</t>
  </si>
  <si>
    <t>2.77</t>
  </si>
  <si>
    <t>5.94</t>
  </si>
  <si>
    <t>4.71</t>
  </si>
  <si>
    <t>2.83</t>
  </si>
  <si>
    <t>2.44</t>
  </si>
  <si>
    <t>4.05</t>
  </si>
  <si>
    <t>2.2</t>
  </si>
  <si>
    <t>Net Debt / (EBITDA - Capex)</t>
  </si>
  <si>
    <t>-0.42</t>
  </si>
  <si>
    <t>0.83</t>
  </si>
  <si>
    <t>3.59</t>
  </si>
  <si>
    <t>1.18</t>
  </si>
  <si>
    <t>0.51</t>
  </si>
  <si>
    <t>Growth Over Prior Year</t>
  </si>
  <si>
    <t>Total Revenues, 1 Yr. Growth %</t>
  </si>
  <si>
    <t>14.74</t>
  </si>
  <si>
    <t>-0.54</t>
  </si>
  <si>
    <t>-27.22</t>
  </si>
  <si>
    <t>-14.49</t>
  </si>
  <si>
    <t>25.61</t>
  </si>
  <si>
    <t>23.16</t>
  </si>
  <si>
    <t>1.7</t>
  </si>
  <si>
    <t>6.24</t>
  </si>
  <si>
    <t>0.05</t>
  </si>
  <si>
    <t>9.21</t>
  </si>
  <si>
    <t>Gross Profit, 1 Yr. Growth %</t>
  </si>
  <si>
    <t>-29.87</t>
  </si>
  <si>
    <t>9.76</t>
  </si>
  <si>
    <t>-48.41</t>
  </si>
  <si>
    <t>11.04</t>
  </si>
  <si>
    <t>18.93</t>
  </si>
  <si>
    <t>3.66</t>
  </si>
  <si>
    <t>24.5</t>
  </si>
  <si>
    <t>-34.95</t>
  </si>
  <si>
    <t>63.06</t>
  </si>
  <si>
    <t>EBITDA, 1 Yr. Growth %</t>
  </si>
  <si>
    <t>-5.8</t>
  </si>
  <si>
    <t>-57.91</t>
  </si>
  <si>
    <t>176.53</t>
  </si>
  <si>
    <t>-41.45</t>
  </si>
  <si>
    <t>5.28</t>
  </si>
  <si>
    <t>34.93</t>
  </si>
  <si>
    <t>7.77</t>
  </si>
  <si>
    <t>29.96</t>
  </si>
  <si>
    <t>-35.43</t>
  </si>
  <si>
    <t>63.16</t>
  </si>
  <si>
    <t>EBITA, 1 Yr. Growth %</t>
  </si>
  <si>
    <t>-62.15</t>
  </si>
  <si>
    <t>208.87</t>
  </si>
  <si>
    <t>-42.42</t>
  </si>
  <si>
    <t>4.64</t>
  </si>
  <si>
    <t>35.35</t>
  </si>
  <si>
    <t>30.76</t>
  </si>
  <si>
    <t>-38.83</t>
  </si>
  <si>
    <t>70.4</t>
  </si>
  <si>
    <t>EBIT, 1 Yr. Growth %</t>
  </si>
  <si>
    <t>-7.48</t>
  </si>
  <si>
    <t>-68.06</t>
  </si>
  <si>
    <t>282.56</t>
  </si>
  <si>
    <t>-46.09</t>
  </si>
  <si>
    <t>4.25</t>
  </si>
  <si>
    <t>43.75</t>
  </si>
  <si>
    <t>6.57</t>
  </si>
  <si>
    <t>31.88</t>
  </si>
  <si>
    <t>-43.21</t>
  </si>
  <si>
    <t>82.5</t>
  </si>
  <si>
    <t>Earnings From Cont. Operations, 1 Yr. Growth %</t>
  </si>
  <si>
    <t>-3.68</t>
  </si>
  <si>
    <t>-69.94</t>
  </si>
  <si>
    <t>299.39</t>
  </si>
  <si>
    <t>-8.1</t>
  </si>
  <si>
    <t>-51.39</t>
  </si>
  <si>
    <t>53.13</t>
  </si>
  <si>
    <t>14.45</t>
  </si>
  <si>
    <t>17.89</t>
  </si>
  <si>
    <t>-54.12</t>
  </si>
  <si>
    <t>132.28</t>
  </si>
  <si>
    <t>Net Income, 1 Yr. Growth %</t>
  </si>
  <si>
    <t>-51.69</t>
  </si>
  <si>
    <t>52.43</t>
  </si>
  <si>
    <t>15.47</t>
  </si>
  <si>
    <t>210.64</t>
  </si>
  <si>
    <t>-79.69</t>
  </si>
  <si>
    <t>Normalized Net Income, 1 Yr. Growth %</t>
  </si>
  <si>
    <t>-5.77</t>
  </si>
  <si>
    <t>-72.96</t>
  </si>
  <si>
    <t>365.66</t>
  </si>
  <si>
    <t>-48.24</t>
  </si>
  <si>
    <t>-7.28</t>
  </si>
  <si>
    <t>51.16</t>
  </si>
  <si>
    <t>9.71</t>
  </si>
  <si>
    <t>36.61</t>
  </si>
  <si>
    <t>-48.78</t>
  </si>
  <si>
    <t>104.27</t>
  </si>
  <si>
    <t>Diluted EPS Before Extra, 1 Yr. Growth %</t>
  </si>
  <si>
    <t>2.22</t>
  </si>
  <si>
    <t>-68.17</t>
  </si>
  <si>
    <t>345.37</t>
  </si>
  <si>
    <t>2.85</t>
  </si>
  <si>
    <t>-57.61</t>
  </si>
  <si>
    <t>46.73</t>
  </si>
  <si>
    <t>19.74</t>
  </si>
  <si>
    <t>24.1</t>
  </si>
  <si>
    <t>-49.64</t>
  </si>
  <si>
    <t>136.63</t>
  </si>
  <si>
    <t>Net Property, Plant and Equip., 1 Yr. Growth %</t>
  </si>
  <si>
    <t>9.47</t>
  </si>
  <si>
    <t>7.48</t>
  </si>
  <si>
    <t>15.13</t>
  </si>
  <si>
    <t>1.16</t>
  </si>
  <si>
    <t>12.92</t>
  </si>
  <si>
    <t>28.2</t>
  </si>
  <si>
    <t>11.35</t>
  </si>
  <si>
    <t>18.71</t>
  </si>
  <si>
    <t>10.77</t>
  </si>
  <si>
    <t>Accounts Receivable, 1 Yr. Growth %</t>
  </si>
  <si>
    <t>37.47</t>
  </si>
  <si>
    <t>-14.43</t>
  </si>
  <si>
    <t>0.75</t>
  </si>
  <si>
    <t>4.02</t>
  </si>
  <si>
    <t>40.11</t>
  </si>
  <si>
    <t>3.5</t>
  </si>
  <si>
    <t>-9.05</t>
  </si>
  <si>
    <t>27.04</t>
  </si>
  <si>
    <t>22.86</t>
  </si>
  <si>
    <t>-4.74</t>
  </si>
  <si>
    <t>Total Assets, 1 Yr. Growth %</t>
  </si>
  <si>
    <t>6.22</t>
  </si>
  <si>
    <t>-4.81</t>
  </si>
  <si>
    <t>-1.09</t>
  </si>
  <si>
    <t>7.18</t>
  </si>
  <si>
    <t>29.04</t>
  </si>
  <si>
    <t>7.79</t>
  </si>
  <si>
    <t>0.81</t>
  </si>
  <si>
    <t>-24.05</t>
  </si>
  <si>
    <t>-2.35</t>
  </si>
  <si>
    <t>1.56</t>
  </si>
  <si>
    <t>Common Equity, 1 Yr. Growth %</t>
  </si>
  <si>
    <t>7.2</t>
  </si>
  <si>
    <t>-12.69</t>
  </si>
  <si>
    <t>-9.41</t>
  </si>
  <si>
    <t>19.63</t>
  </si>
  <si>
    <t>10.58</t>
  </si>
  <si>
    <t>-7.71</t>
  </si>
  <si>
    <t>-22.61</t>
  </si>
  <si>
    <t>13.73</t>
  </si>
  <si>
    <t>Tangible Book Value, 1 Yr. Growth %</t>
  </si>
  <si>
    <t>-13.76</t>
  </si>
  <si>
    <t>-11.32</t>
  </si>
  <si>
    <t>1.24</t>
  </si>
  <si>
    <t>-29.35</t>
  </si>
  <si>
    <t>27.78</t>
  </si>
  <si>
    <t>-3.73</t>
  </si>
  <si>
    <t>-17.43</t>
  </si>
  <si>
    <t>-54.59</t>
  </si>
  <si>
    <t>65.55</t>
  </si>
  <si>
    <t>Cash From Operations, 1 Yr. Growth %</t>
  </si>
  <si>
    <t>-61.67</t>
  </si>
  <si>
    <t>-35.36</t>
  </si>
  <si>
    <t>-47.16</t>
  </si>
  <si>
    <t>388.4</t>
  </si>
  <si>
    <t>23.81</t>
  </si>
  <si>
    <t>115.23</t>
  </si>
  <si>
    <t>-5.05</t>
  </si>
  <si>
    <t>-41.75</t>
  </si>
  <si>
    <t>-23.64</t>
  </si>
  <si>
    <t>90.67</t>
  </si>
  <si>
    <t>Capital Expenditures, 1 Yr. Growth %</t>
  </si>
  <si>
    <t>59.77</t>
  </si>
  <si>
    <t>37.43</t>
  </si>
  <si>
    <t>-25.82</t>
  </si>
  <si>
    <t>-27.11</t>
  </si>
  <si>
    <t>33.33</t>
  </si>
  <si>
    <t>33.21</t>
  </si>
  <si>
    <t>54.62</t>
  </si>
  <si>
    <t>-0.59</t>
  </si>
  <si>
    <t>8.7</t>
  </si>
  <si>
    <t>Levered Free Cash Flow, 1 Yr. Growth %</t>
  </si>
  <si>
    <t>-102.58</t>
  </si>
  <si>
    <t>77.29</t>
  </si>
  <si>
    <t>-146.3</t>
  </si>
  <si>
    <t>-82.57</t>
  </si>
  <si>
    <t>-13.22</t>
  </si>
  <si>
    <t>44.52</t>
  </si>
  <si>
    <t>-79.46</t>
  </si>
  <si>
    <t>61.48</t>
  </si>
  <si>
    <t>Unlevered Free Cash Flow, 1 Yr. Growth %</t>
  </si>
  <si>
    <t>-98.66</t>
  </si>
  <si>
    <t>81.36</t>
  </si>
  <si>
    <t>-150.51</t>
  </si>
  <si>
    <t>-81.9</t>
  </si>
  <si>
    <t>-12.89</t>
  </si>
  <si>
    <t>43.51</t>
  </si>
  <si>
    <t>-77.95</t>
  </si>
  <si>
    <t>55.4</t>
  </si>
  <si>
    <t>Dividend Per Share, 1 Yr. Growth %</t>
  </si>
  <si>
    <t>10.42</t>
  </si>
  <si>
    <t>29.25</t>
  </si>
  <si>
    <t>48.18</t>
  </si>
  <si>
    <t>5.91</t>
  </si>
  <si>
    <t>6.05</t>
  </si>
  <si>
    <t>6.58</t>
  </si>
  <si>
    <t>4.31</t>
  </si>
  <si>
    <t>Compound Annual Growth Rate Over Two Years</t>
  </si>
  <si>
    <t>Total Revenues, 2 Yr. CAGR %</t>
  </si>
  <si>
    <t>6.83</t>
  </si>
  <si>
    <t>-14.99</t>
  </si>
  <si>
    <t>-21.11</t>
  </si>
  <si>
    <t>3.64</t>
  </si>
  <si>
    <t>24.38</t>
  </si>
  <si>
    <t>12.23</t>
  </si>
  <si>
    <t>4.07</t>
  </si>
  <si>
    <t>3.06</t>
  </si>
  <si>
    <t>4.53</t>
  </si>
  <si>
    <t>Gross Profit, 2 Yr. CAGR %</t>
  </si>
  <si>
    <t>2.63</t>
  </si>
  <si>
    <t>-16.15</t>
  </si>
  <si>
    <t>-12.85</t>
  </si>
  <si>
    <t>-24.75</t>
  </si>
  <si>
    <t>-23.05</t>
  </si>
  <si>
    <t>14.92</t>
  </si>
  <si>
    <t>14.76</t>
  </si>
  <si>
    <t>-9.61</t>
  </si>
  <si>
    <t>2.91</t>
  </si>
  <si>
    <t>EBITDA, 2 Yr. CAGR %</t>
  </si>
  <si>
    <t>-0.41</t>
  </si>
  <si>
    <t>-37.03</t>
  </si>
  <si>
    <t>5.55</t>
  </si>
  <si>
    <t>27.24</t>
  </si>
  <si>
    <t>-21.49</t>
  </si>
  <si>
    <t>19.19</t>
  </si>
  <si>
    <t>25.27</t>
  </si>
  <si>
    <t>21.43</t>
  </si>
  <si>
    <t>-8.17</t>
  </si>
  <si>
    <t>2.56</t>
  </si>
  <si>
    <t>EBITA, 2 Yr. CAGR %</t>
  </si>
  <si>
    <t>-0.22</t>
  </si>
  <si>
    <t>-40.04</t>
  </si>
  <si>
    <t>-22.38</t>
  </si>
  <si>
    <t>19.01</t>
  </si>
  <si>
    <t>25.75</t>
  </si>
  <si>
    <t>22.08</t>
  </si>
  <si>
    <t>-10.32</t>
  </si>
  <si>
    <t>2.01</t>
  </si>
  <si>
    <t>EBIT, 2 Yr. CAGR %</t>
  </si>
  <si>
    <t>-0.95</t>
  </si>
  <si>
    <t>-45.64</t>
  </si>
  <si>
    <t>6.86</t>
  </si>
  <si>
    <t>43.62</t>
  </si>
  <si>
    <t>-25.03</t>
  </si>
  <si>
    <t>22.42</t>
  </si>
  <si>
    <t>22.33</t>
  </si>
  <si>
    <t>-13.19</t>
  </si>
  <si>
    <t>1.71</t>
  </si>
  <si>
    <t>Earnings From Cont. Operations, 2 Yr. CAGR %</t>
  </si>
  <si>
    <t>-1.33</t>
  </si>
  <si>
    <t>-46.19</t>
  </si>
  <si>
    <t>9.57</t>
  </si>
  <si>
    <t>91.56</t>
  </si>
  <si>
    <t>-33.16</t>
  </si>
  <si>
    <t>-13.72</t>
  </si>
  <si>
    <t>32.38</t>
  </si>
  <si>
    <t>41.5</t>
  </si>
  <si>
    <t>-27.02</t>
  </si>
  <si>
    <t>3.23</t>
  </si>
  <si>
    <t>Net Income, 2 Yr. CAGR %</t>
  </si>
  <si>
    <t>-33.37</t>
  </si>
  <si>
    <t>-14.19</t>
  </si>
  <si>
    <t>32.67</t>
  </si>
  <si>
    <t>89.39</t>
  </si>
  <si>
    <t>-20.79</t>
  </si>
  <si>
    <t>-31.31</t>
  </si>
  <si>
    <t>Normalized Net Income, 2 Yr. CAGR %</t>
  </si>
  <si>
    <t>-0.9</t>
  </si>
  <si>
    <t>-49.53</t>
  </si>
  <si>
    <t>7.42</t>
  </si>
  <si>
    <t>55.26</t>
  </si>
  <si>
    <t>-30.72</t>
  </si>
  <si>
    <t>18.39</t>
  </si>
  <si>
    <t>37.1</t>
  </si>
  <si>
    <t>27.48</t>
  </si>
  <si>
    <t>-16.05</t>
  </si>
  <si>
    <t>2.18</t>
  </si>
  <si>
    <t>Diluted EPS Before Extra, 2 Yr. CAGR %</t>
  </si>
  <si>
    <t>-42.96</t>
  </si>
  <si>
    <t>19.07</t>
  </si>
  <si>
    <t>114.02</t>
  </si>
  <si>
    <t>-33.98</t>
  </si>
  <si>
    <t>-21.14</t>
  </si>
  <si>
    <t>32.55</t>
  </si>
  <si>
    <t>49.59</t>
  </si>
  <si>
    <t>-21.56</t>
  </si>
  <si>
    <t>9.17</t>
  </si>
  <si>
    <t>Net Property, Plant and Equip., 2 Yr. CAGR %</t>
  </si>
  <si>
    <t>5.22</t>
  </si>
  <si>
    <t>8.47</t>
  </si>
  <si>
    <t>11.24</t>
  </si>
  <si>
    <t>7.93</t>
  </si>
  <si>
    <t>6.88</t>
  </si>
  <si>
    <t>20.32</t>
  </si>
  <si>
    <t>19.48</t>
  </si>
  <si>
    <t>10.02</t>
  </si>
  <si>
    <t>14.67</t>
  </si>
  <si>
    <t>7.87</t>
  </si>
  <si>
    <t>Accounts Receivable, 2 Yr. CAGR %</t>
  </si>
  <si>
    <t>34.58</t>
  </si>
  <si>
    <t>8.46</t>
  </si>
  <si>
    <t>-7.15</t>
  </si>
  <si>
    <t>2.37</t>
  </si>
  <si>
    <t>20.72</t>
  </si>
  <si>
    <t>20.42</t>
  </si>
  <si>
    <t>-2.98</t>
  </si>
  <si>
    <t>24.93</t>
  </si>
  <si>
    <t>8.18</t>
  </si>
  <si>
    <t>Total Assets, 2 Yr. CAGR %</t>
  </si>
  <si>
    <t>4.42</t>
  </si>
  <si>
    <t>0.55</t>
  </si>
  <si>
    <t>2.96</t>
  </si>
  <si>
    <t>17.6</t>
  </si>
  <si>
    <t>17.94</t>
  </si>
  <si>
    <t>4.24</t>
  </si>
  <si>
    <t>-12.5</t>
  </si>
  <si>
    <t>-13.87</t>
  </si>
  <si>
    <t>Common Equity, 2 Yr. CAGR %</t>
  </si>
  <si>
    <t>-0.04</t>
  </si>
  <si>
    <t>-3.25</t>
  </si>
  <si>
    <t>-11.07</t>
  </si>
  <si>
    <t>-2.84</t>
  </si>
  <si>
    <t>11.66</t>
  </si>
  <si>
    <t>15.02</t>
  </si>
  <si>
    <t>7.9</t>
  </si>
  <si>
    <t>-1.43</t>
  </si>
  <si>
    <t>-15.69</t>
  </si>
  <si>
    <t>-6.18</t>
  </si>
  <si>
    <t>Tangible Book Value, 2 Yr. CAGR %</t>
  </si>
  <si>
    <t>-3.85</t>
  </si>
  <si>
    <t>-3.88</t>
  </si>
  <si>
    <t>-12.55</t>
  </si>
  <si>
    <t>-5.25</t>
  </si>
  <si>
    <t>-15.43</t>
  </si>
  <si>
    <t>-4.99</t>
  </si>
  <si>
    <t>10.91</t>
  </si>
  <si>
    <t>-10.84</t>
  </si>
  <si>
    <t>-39.13</t>
  </si>
  <si>
    <t>-13.3</t>
  </si>
  <si>
    <t>Cash From Operations, 2 Yr. CAGR %</t>
  </si>
  <si>
    <t>-23.88</t>
  </si>
  <si>
    <t>-50.23</t>
  </si>
  <si>
    <t>-41.55</t>
  </si>
  <si>
    <t>51.89</t>
  </si>
  <si>
    <t>145.91</t>
  </si>
  <si>
    <t>63.24</t>
  </si>
  <si>
    <t>42.95</t>
  </si>
  <si>
    <t>-25.63</t>
  </si>
  <si>
    <t>-33.31</t>
  </si>
  <si>
    <t>Capital Expenditures, 2 Yr. CAGR %</t>
  </si>
  <si>
    <t>21.69</t>
  </si>
  <si>
    <t>-26.48</t>
  </si>
  <si>
    <t>-1.42</t>
  </si>
  <si>
    <t>33.27</t>
  </si>
  <si>
    <t>20.99</t>
  </si>
  <si>
    <t>30.35</t>
  </si>
  <si>
    <t>23.98</t>
  </si>
  <si>
    <t>3.95</t>
  </si>
  <si>
    <t>Levered Free Cash Flow, 2 Yr. CAGR %</t>
  </si>
  <si>
    <t>-85.27</t>
  </si>
  <si>
    <t>-16.31</t>
  </si>
  <si>
    <t>611.95</t>
  </si>
  <si>
    <t>-8.96</t>
  </si>
  <si>
    <t>171.05</t>
  </si>
  <si>
    <t>66.29</t>
  </si>
  <si>
    <t>-60.8</t>
  </si>
  <si>
    <t>54.02</t>
  </si>
  <si>
    <t>-45.14</t>
  </si>
  <si>
    <t>-46.18</t>
  </si>
  <si>
    <t>Unlevered Free Cash Flow, 2 Yr. CAGR %</t>
  </si>
  <si>
    <t>-89.28</t>
  </si>
  <si>
    <t>-20.67</t>
  </si>
  <si>
    <t>802.5</t>
  </si>
  <si>
    <t>-3.8</t>
  </si>
  <si>
    <t>176.34</t>
  </si>
  <si>
    <t>65.42</t>
  </si>
  <si>
    <t>-59.98</t>
  </si>
  <si>
    <t>51.99</t>
  </si>
  <si>
    <t>-43.36</t>
  </si>
  <si>
    <t>-44.95</t>
  </si>
  <si>
    <t>Dividend Per Share, 2 Yr. CAGR %</t>
  </si>
  <si>
    <t>14.4</t>
  </si>
  <si>
    <t>19.46</t>
  </si>
  <si>
    <t>38.39</t>
  </si>
  <si>
    <t>6.31</t>
  </si>
  <si>
    <t>5.76</t>
  </si>
  <si>
    <t>4.63</t>
  </si>
  <si>
    <t>Compound Annual Growth Rate Over Three Years</t>
  </si>
  <si>
    <t>Total Revenues, 3 Yr. CAGR %</t>
  </si>
  <si>
    <t>7.86</t>
  </si>
  <si>
    <t>6.67</t>
  </si>
  <si>
    <t>-6.05</t>
  </si>
  <si>
    <t>-14.83</t>
  </si>
  <si>
    <t>-7.88</t>
  </si>
  <si>
    <t>16.25</t>
  </si>
  <si>
    <t>8.39</t>
  </si>
  <si>
    <t>5.07</t>
  </si>
  <si>
    <t>Gross Profit, 3 Yr. CAGR %</t>
  </si>
  <si>
    <t>4.37</t>
  </si>
  <si>
    <t>-8.68</t>
  </si>
  <si>
    <t>-26.82</t>
  </si>
  <si>
    <t>-14.33</t>
  </si>
  <si>
    <t>-11.03</t>
  </si>
  <si>
    <t>12.64</t>
  </si>
  <si>
    <t>14.81</t>
  </si>
  <si>
    <t>-6.07</t>
  </si>
  <si>
    <t>10.04</t>
  </si>
  <si>
    <t>EBITDA, 3 Yr. CAGR %</t>
  </si>
  <si>
    <t>1.43</t>
  </si>
  <si>
    <t>-25.26</t>
  </si>
  <si>
    <t>1.63</t>
  </si>
  <si>
    <t>-13.28</t>
  </si>
  <si>
    <t>19.45</t>
  </si>
  <si>
    <t>-5.96</t>
  </si>
  <si>
    <t>14.62</t>
  </si>
  <si>
    <t>23.01</t>
  </si>
  <si>
    <t>-1.67</t>
  </si>
  <si>
    <t>11.23</t>
  </si>
  <si>
    <t>EBITA, 3 Yr. CAGR %</t>
  </si>
  <si>
    <t>4.17</t>
  </si>
  <si>
    <t>-27.77</t>
  </si>
  <si>
    <t>1.76</t>
  </si>
  <si>
    <t>-13.2</t>
  </si>
  <si>
    <t>23.97</t>
  </si>
  <si>
    <t>-6.57</t>
  </si>
  <si>
    <t>14.37</t>
  </si>
  <si>
    <t>23.36</t>
  </si>
  <si>
    <t>-3.09</t>
  </si>
  <si>
    <t>11.08</t>
  </si>
  <si>
    <t>EBIT, 3 Yr. CAGR %</t>
  </si>
  <si>
    <t>1.54</t>
  </si>
  <si>
    <t>-32.08</t>
  </si>
  <si>
    <t>-14.93</t>
  </si>
  <si>
    <t>29.07</t>
  </si>
  <si>
    <t>-6.86</t>
  </si>
  <si>
    <t>16.13</t>
  </si>
  <si>
    <t>-5.33</t>
  </si>
  <si>
    <t>11.2</t>
  </si>
  <si>
    <t>Earnings From Cont. Operations, 3 Yr. CAGR %</t>
  </si>
  <si>
    <t>-4.4</t>
  </si>
  <si>
    <t>-33.61</t>
  </si>
  <si>
    <t>4.96</t>
  </si>
  <si>
    <t>3.33</t>
  </si>
  <si>
    <t>21.28</t>
  </si>
  <si>
    <t>-11.89</t>
  </si>
  <si>
    <t>-5.2</t>
  </si>
  <si>
    <t>34.42</t>
  </si>
  <si>
    <t>-3.35</t>
  </si>
  <si>
    <t>7.35</t>
  </si>
  <si>
    <t>Net Income, 3 Yr. CAGR %</t>
  </si>
  <si>
    <t>21.02</t>
  </si>
  <si>
    <t>-12.21</t>
  </si>
  <si>
    <t>-5.26</t>
  </si>
  <si>
    <t>76.17</t>
  </si>
  <si>
    <t>-10.25</t>
  </si>
  <si>
    <t>13.38</t>
  </si>
  <si>
    <t>Normalized Net Income, 3 Yr. CAGR %</t>
  </si>
  <si>
    <t>-35.73</t>
  </si>
  <si>
    <t>-15.78</t>
  </si>
  <si>
    <t>30.75</t>
  </si>
  <si>
    <t>-10.14</t>
  </si>
  <si>
    <t>14.53</t>
  </si>
  <si>
    <t>31.37</t>
  </si>
  <si>
    <t>-5.99</t>
  </si>
  <si>
    <t>Diluted EPS Before Extra, 3 Yr. CAGR %</t>
  </si>
  <si>
    <t>5.34</t>
  </si>
  <si>
    <t>-28.76</t>
  </si>
  <si>
    <t>13.16</t>
  </si>
  <si>
    <t>13.39</t>
  </si>
  <si>
    <t>24.75</t>
  </si>
  <si>
    <t>-13.84</t>
  </si>
  <si>
    <t>-9.36</t>
  </si>
  <si>
    <t>36.87</t>
  </si>
  <si>
    <t>3.46</t>
  </si>
  <si>
    <t>13.34</t>
  </si>
  <si>
    <t>Net Property, Plant and Equip., 3 Yr. CAGR %</t>
  </si>
  <si>
    <t>4.56</t>
  </si>
  <si>
    <t>5.97</t>
  </si>
  <si>
    <t>10.65</t>
  </si>
  <si>
    <t>13.56</t>
  </si>
  <si>
    <t>17.25</t>
  </si>
  <si>
    <t>15.78</t>
  </si>
  <si>
    <t>10.27</t>
  </si>
  <si>
    <t>11.37</t>
  </si>
  <si>
    <t>Accounts Receivable, 3 Yr. CAGR %</t>
  </si>
  <si>
    <t>33.6</t>
  </si>
  <si>
    <t>5.83</t>
  </si>
  <si>
    <t>-3.57</t>
  </si>
  <si>
    <t>13.66</t>
  </si>
  <si>
    <t>14.68</t>
  </si>
  <si>
    <t>9.66</t>
  </si>
  <si>
    <t>6.14</t>
  </si>
  <si>
    <t>12.38</t>
  </si>
  <si>
    <t>14.13</t>
  </si>
  <si>
    <t>Total Assets, 3 Yr. CAGR %</t>
  </si>
  <si>
    <t>1.25</t>
  </si>
  <si>
    <t>-0.01</t>
  </si>
  <si>
    <t>11.01</t>
  </si>
  <si>
    <t>14.24</t>
  </si>
  <si>
    <t>11.93</t>
  </si>
  <si>
    <t>-9.23</t>
  </si>
  <si>
    <t>-9.01</t>
  </si>
  <si>
    <t>Common Equity, 3 Yr. CAGR %</t>
  </si>
  <si>
    <t>2.06</t>
  </si>
  <si>
    <t>-4.45</t>
  </si>
  <si>
    <t>-5.35</t>
  </si>
  <si>
    <t>-6.24</t>
  </si>
  <si>
    <t>11.3</t>
  </si>
  <si>
    <t>11.68</t>
  </si>
  <si>
    <t>2.42</t>
  </si>
  <si>
    <t>-9.21</t>
  </si>
  <si>
    <t>-6.84</t>
  </si>
  <si>
    <t>Tangible Book Value, 3 Yr. CAGR %</t>
  </si>
  <si>
    <t>-6.43</t>
  </si>
  <si>
    <t>-8.18</t>
  </si>
  <si>
    <t>-14.08</t>
  </si>
  <si>
    <t>-2.96</t>
  </si>
  <si>
    <t>-4.57</t>
  </si>
  <si>
    <t>-29.08</t>
  </si>
  <si>
    <t>-15.03</t>
  </si>
  <si>
    <t>Cash From Operations, 3 Yr. CAGR %</t>
  </si>
  <si>
    <t>-22.78</t>
  </si>
  <si>
    <t>-27.92</t>
  </si>
  <si>
    <t>-49.22</t>
  </si>
  <si>
    <t>10.43</t>
  </si>
  <si>
    <t>41.89</t>
  </si>
  <si>
    <t>135.22</t>
  </si>
  <si>
    <t>36.26</t>
  </si>
  <si>
    <t>-24.97</t>
  </si>
  <si>
    <t>Capital Expenditures, 3 Yr. CAGR %</t>
  </si>
  <si>
    <t>32.74</t>
  </si>
  <si>
    <t>26.72</t>
  </si>
  <si>
    <t>17.66</t>
  </si>
  <si>
    <t>-9.44</t>
  </si>
  <si>
    <t>-10.35</t>
  </si>
  <si>
    <t>8.99</t>
  </si>
  <si>
    <t>24.97</t>
  </si>
  <si>
    <t>31.29</t>
  </si>
  <si>
    <t>19.09</t>
  </si>
  <si>
    <t>18.66</t>
  </si>
  <si>
    <t>Levered Free Cash Flow, 3 Yr. CAGR %</t>
  </si>
  <si>
    <t>-66.24</t>
  </si>
  <si>
    <t>-16.14</t>
  </si>
  <si>
    <t>187.24</t>
  </si>
  <si>
    <t>136.05</t>
  </si>
  <si>
    <t>8.59</t>
  </si>
  <si>
    <t>34.41</t>
  </si>
  <si>
    <t>-26.3</t>
  </si>
  <si>
    <t>-20.98</t>
  </si>
  <si>
    <t>-24.84</t>
  </si>
  <si>
    <t>Unlevered Free Cash Flow, 3 Yr. CAGR %</t>
  </si>
  <si>
    <t>-72.92</t>
  </si>
  <si>
    <t>-18.6</t>
  </si>
  <si>
    <t>246.39</t>
  </si>
  <si>
    <t>140.95</t>
  </si>
  <si>
    <t>34.09</t>
  </si>
  <si>
    <t>-25.98</t>
  </si>
  <si>
    <t>-19.81</t>
  </si>
  <si>
    <t>Dividend Per Share, 3 Yr. CAGR %</t>
  </si>
  <si>
    <t>14.83</t>
  </si>
  <si>
    <t>19.15</t>
  </si>
  <si>
    <t>28.35</t>
  </si>
  <si>
    <t>26.58</t>
  </si>
  <si>
    <t>18.51</t>
  </si>
  <si>
    <t>6.18</t>
  </si>
  <si>
    <t>5.85</t>
  </si>
  <si>
    <t>5.27</t>
  </si>
  <si>
    <t>4.08</t>
  </si>
  <si>
    <t>3.41</t>
  </si>
  <si>
    <t>Compound Annual Growth Rate Over Five Years</t>
  </si>
  <si>
    <t>Total Revenues, 5 Yr. CAGR %</t>
  </si>
  <si>
    <t>3.6</t>
  </si>
  <si>
    <t>-1.94</t>
  </si>
  <si>
    <t>-5.49</t>
  </si>
  <si>
    <t>-2.29</t>
  </si>
  <si>
    <t>-0.45</t>
  </si>
  <si>
    <t>9.7</t>
  </si>
  <si>
    <t>Gross Profit, 5 Yr. CAGR %</t>
  </si>
  <si>
    <t>-7.84</t>
  </si>
  <si>
    <t>-2.89</t>
  </si>
  <si>
    <t>-16.22</t>
  </si>
  <si>
    <t>-15.29</t>
  </si>
  <si>
    <t>-12.35</t>
  </si>
  <si>
    <t>-4.15</t>
  </si>
  <si>
    <t>-2.62</t>
  </si>
  <si>
    <t>0.19</t>
  </si>
  <si>
    <t>EBITDA, 5 Yr. CAGR %</t>
  </si>
  <si>
    <t>-0.68</t>
  </si>
  <si>
    <t>-18.59</t>
  </si>
  <si>
    <t>-8.34</t>
  </si>
  <si>
    <t>-1.51</t>
  </si>
  <si>
    <t>19.51</t>
  </si>
  <si>
    <t>0.89</t>
  </si>
  <si>
    <t>2.86</t>
  </si>
  <si>
    <t>14.38</t>
  </si>
  <si>
    <t>EBITA, 5 Yr. CAGR %</t>
  </si>
  <si>
    <t>0.31</t>
  </si>
  <si>
    <t>-19.56</t>
  </si>
  <si>
    <t>-8.23</t>
  </si>
  <si>
    <t>-8.25</t>
  </si>
  <si>
    <t>-1.52</t>
  </si>
  <si>
    <t>22.19</t>
  </si>
  <si>
    <t>14.33</t>
  </si>
  <si>
    <t>EBIT, 5 Yr. CAGR %</t>
  </si>
  <si>
    <t>-1.22</t>
  </si>
  <si>
    <t>-23.43</t>
  </si>
  <si>
    <t>-9.6</t>
  </si>
  <si>
    <t>-9.9</t>
  </si>
  <si>
    <t>-1.6</t>
  </si>
  <si>
    <t>26.43</t>
  </si>
  <si>
    <t>1.03</t>
  </si>
  <si>
    <t>15.68</t>
  </si>
  <si>
    <t>Earnings From Cont. Operations, 5 Yr. CAGR %</t>
  </si>
  <si>
    <t>1.81</t>
  </si>
  <si>
    <t>-12.67</t>
  </si>
  <si>
    <t>0.96</t>
  </si>
  <si>
    <t>1.44</t>
  </si>
  <si>
    <t>-12.37</t>
  </si>
  <si>
    <t>-3.86</t>
  </si>
  <si>
    <t>1.65</t>
  </si>
  <si>
    <t>-11.85</t>
  </si>
  <si>
    <t>20.53</t>
  </si>
  <si>
    <t>Net Income, 5 Yr. CAGR %</t>
  </si>
  <si>
    <t>-12.48</t>
  </si>
  <si>
    <t>-4.07</t>
  </si>
  <si>
    <t>25.55</t>
  </si>
  <si>
    <t>19.41</t>
  </si>
  <si>
    <t>20.68</t>
  </si>
  <si>
    <t>Normalized Net Income, 5 Yr. CAGR %</t>
  </si>
  <si>
    <t>-1.25</t>
  </si>
  <si>
    <t>-26.1</t>
  </si>
  <si>
    <t>3.99</t>
  </si>
  <si>
    <t>-10.12</t>
  </si>
  <si>
    <t>-12.2</t>
  </si>
  <si>
    <t>-3.49</t>
  </si>
  <si>
    <t>29.35</t>
  </si>
  <si>
    <t>-1.27</t>
  </si>
  <si>
    <t>18.81</t>
  </si>
  <si>
    <t>Diluted EPS Before Extra, 5 Yr. CAGR %</t>
  </si>
  <si>
    <t>12.15</t>
  </si>
  <si>
    <t>-3.89</t>
  </si>
  <si>
    <t>10.63</t>
  </si>
  <si>
    <t>10.62</t>
  </si>
  <si>
    <t>-8.78</t>
  </si>
  <si>
    <t>27.81</t>
  </si>
  <si>
    <t>2.25</t>
  </si>
  <si>
    <t>-11.67</t>
  </si>
  <si>
    <t>24.59</t>
  </si>
  <si>
    <t>Net Property, Plant and Equip., 5 Yr. CAGR %</t>
  </si>
  <si>
    <t>2.24</t>
  </si>
  <si>
    <t>6.75</t>
  </si>
  <si>
    <t>12.63</t>
  </si>
  <si>
    <t>13.43</t>
  </si>
  <si>
    <t>12.13</t>
  </si>
  <si>
    <t>14.18</t>
  </si>
  <si>
    <t>12.55</t>
  </si>
  <si>
    <t>Accounts Receivable, 5 Yr. CAGR %</t>
  </si>
  <si>
    <t>26.05</t>
  </si>
  <si>
    <t>19.59</t>
  </si>
  <si>
    <t>15.51</t>
  </si>
  <si>
    <t>10.19</t>
  </si>
  <si>
    <t>11.55</t>
  </si>
  <si>
    <t>5.39</t>
  </si>
  <si>
    <t>11.75</t>
  </si>
  <si>
    <t>15.53</t>
  </si>
  <si>
    <t>6.95</t>
  </si>
  <si>
    <t>Total Assets, 5 Yr. CAGR %</t>
  </si>
  <si>
    <t>2.62</t>
  </si>
  <si>
    <t>1.93</t>
  </si>
  <si>
    <t>6.7</t>
  </si>
  <si>
    <t>8.25</t>
  </si>
  <si>
    <t>2.68</t>
  </si>
  <si>
    <t>0.79</t>
  </si>
  <si>
    <t>-3.92</t>
  </si>
  <si>
    <t>Common Equity, 5 Yr. CAGR %</t>
  </si>
  <si>
    <t>1.32</t>
  </si>
  <si>
    <t>-1.1</t>
  </si>
  <si>
    <t>-3.41</t>
  </si>
  <si>
    <t>-3.81</t>
  </si>
  <si>
    <t>1.75</t>
  </si>
  <si>
    <t>-0.2</t>
  </si>
  <si>
    <t>-1.2</t>
  </si>
  <si>
    <t>Tangible Book Value, 5 Yr. CAGR %</t>
  </si>
  <si>
    <t>1.85</t>
  </si>
  <si>
    <t>-2.38</t>
  </si>
  <si>
    <t>-5.09</t>
  </si>
  <si>
    <t>-6.47</t>
  </si>
  <si>
    <t>-6.91</t>
  </si>
  <si>
    <t>-4.84</t>
  </si>
  <si>
    <t>-6.19</t>
  </si>
  <si>
    <t>-20.28</t>
  </si>
  <si>
    <t>-5.48</t>
  </si>
  <si>
    <t>Cash From Operations, 5 Yr. CAGR %</t>
  </si>
  <si>
    <t>7.85</t>
  </si>
  <si>
    <t>-13.99</t>
  </si>
  <si>
    <t>-30.92</t>
  </si>
  <si>
    <t>-8.57</t>
  </si>
  <si>
    <t>29.12</t>
  </si>
  <si>
    <t>42.31</t>
  </si>
  <si>
    <t>48.4</t>
  </si>
  <si>
    <t>2.39</t>
  </si>
  <si>
    <t>11.63</t>
  </si>
  <si>
    <t>Capital Expenditures, 5 Yr. CAGR %</t>
  </si>
  <si>
    <t>17.54</t>
  </si>
  <si>
    <t>18.98</t>
  </si>
  <si>
    <t>9.61</t>
  </si>
  <si>
    <t>5.7</t>
  </si>
  <si>
    <t>1.07</t>
  </si>
  <si>
    <t>17.08</t>
  </si>
  <si>
    <t>24.57</t>
  </si>
  <si>
    <t>Levered Free Cash Flow, 5 Yr. CAGR %</t>
  </si>
  <si>
    <t>-47.91</t>
  </si>
  <si>
    <t>47.62</t>
  </si>
  <si>
    <t>13.51</t>
  </si>
  <si>
    <t>-13.05</t>
  </si>
  <si>
    <t>56.42</t>
  </si>
  <si>
    <t>130.83</t>
  </si>
  <si>
    <t>5.64</t>
  </si>
  <si>
    <t>-34.84</t>
  </si>
  <si>
    <t>Unlevered Free Cash Flow, 5 Yr. CAGR %</t>
  </si>
  <si>
    <t>-54.36</t>
  </si>
  <si>
    <t>62.52</t>
  </si>
  <si>
    <t>11.45</t>
  </si>
  <si>
    <t>-12.68</t>
  </si>
  <si>
    <t>55.03</t>
  </si>
  <si>
    <t>157.74</t>
  </si>
  <si>
    <t>17.41</t>
  </si>
  <si>
    <t>25.26</t>
  </si>
  <si>
    <t>-34.08</t>
  </si>
  <si>
    <t>Dividend Per Share, 5 Yr. CAGR %</t>
  </si>
  <si>
    <t>12.43</t>
  </si>
  <si>
    <t>16.81</t>
  </si>
  <si>
    <t>23.73</t>
  </si>
  <si>
    <t>21.56</t>
  </si>
  <si>
    <t>18.89</t>
  </si>
  <si>
    <t>18.05</t>
  </si>
  <si>
    <t>13.23</t>
  </si>
  <si>
    <t>4.97</t>
  </si>
  <si>
    <t>4.34</t>
  </si>
  <si>
    <t>2019</t>
  </si>
  <si>
    <t>2020</t>
  </si>
  <si>
    <t>2021</t>
  </si>
  <si>
    <t>2022</t>
  </si>
  <si>
    <t>2023</t>
  </si>
  <si>
    <t>2024</t>
  </si>
  <si>
    <t>2025</t>
  </si>
  <si>
    <t>2026</t>
  </si>
  <si>
    <t>Capitalization
                                    1</t>
  </si>
  <si>
    <t>7,948</t>
  </si>
  <si>
    <t>8,004</t>
  </si>
  <si>
    <t>8,880</t>
  </si>
  <si>
    <t>6,607</t>
  </si>
  <si>
    <t>8,861</t>
  </si>
  <si>
    <t>11,049</t>
  </si>
  <si>
    <t>-</t>
  </si>
  <si>
    <t>Change</t>
  </si>
  <si>
    <t>0.7%</t>
  </si>
  <si>
    <t>10.95%</t>
  </si>
  <si>
    <t>-25.6%</t>
  </si>
  <si>
    <t>34.11%</t>
  </si>
  <si>
    <t>24.69%</t>
  </si>
  <si>
    <t>Enterprise Value (EV)</t>
  </si>
  <si>
    <t>9,955</t>
  </si>
  <si>
    <t>10,257</t>
  </si>
  <si>
    <t>11,083</t>
  </si>
  <si>
    <t>3.03%</t>
  </si>
  <si>
    <t>8.05%</t>
  </si>
  <si>
    <t>-40.38%</t>
  </si>
  <si>
    <t>0%</t>
  </si>
  <si>
    <t>P/E ratio</t>
  </si>
  <si>
    <t>22.4x</t>
  </si>
  <si>
    <t>19.5x</t>
  </si>
  <si>
    <t>15.3x</t>
  </si>
  <si>
    <t>24.8x</t>
  </si>
  <si>
    <t>14.1x</t>
  </si>
  <si>
    <t>15.7x</t>
  </si>
  <si>
    <t>12x</t>
  </si>
  <si>
    <t>11.1x</t>
  </si>
  <si>
    <t>PBR</t>
  </si>
  <si>
    <t>1.39x</t>
  </si>
  <si>
    <t>1.34x</t>
  </si>
  <si>
    <t>1.58x</t>
  </si>
  <si>
    <t>1.56x</t>
  </si>
  <si>
    <t>1.82x</t>
  </si>
  <si>
    <t>2.08x</t>
  </si>
  <si>
    <t>1.86x</t>
  </si>
  <si>
    <t>1.66x</t>
  </si>
  <si>
    <t>PEG</t>
  </si>
  <si>
    <t>1x</t>
  </si>
  <si>
    <t>0.3x</t>
  </si>
  <si>
    <t>-0.5x</t>
  </si>
  <si>
    <t>0x</t>
  </si>
  <si>
    <t>0.4x</t>
  </si>
  <si>
    <t>1.31x</t>
  </si>
  <si>
    <t>Capitalization / Revenue</t>
  </si>
  <si>
    <t>0.79x</t>
  </si>
  <si>
    <t>0.87x</t>
  </si>
  <si>
    <t>0.65x</t>
  </si>
  <si>
    <t>0.8x</t>
  </si>
  <si>
    <t>0.93x</t>
  </si>
  <si>
    <t>0.89x</t>
  </si>
  <si>
    <t>0.88x</t>
  </si>
  <si>
    <t>EV / Revenue</t>
  </si>
  <si>
    <t>EV / EBITDA</t>
  </si>
  <si>
    <t>7.97x</t>
  </si>
  <si>
    <t>7.32x</t>
  </si>
  <si>
    <t>7.14x</t>
  </si>
  <si>
    <t>EV / EBIT</t>
  </si>
  <si>
    <t>10.2x</t>
  </si>
  <si>
    <t>8.94x</t>
  </si>
  <si>
    <t>8.74x</t>
  </si>
  <si>
    <t>EV / FCF</t>
  </si>
  <si>
    <t>FCF Yield</t>
  </si>
  <si>
    <t>Dividend per Share
                                    2</t>
  </si>
  <si>
    <t>2.923</t>
  </si>
  <si>
    <t>3.092</t>
  </si>
  <si>
    <t>3.223</t>
  </si>
  <si>
    <t>Rate of return</t>
  </si>
  <si>
    <t>1.85%</t>
  </si>
  <si>
    <t>1.87%</t>
  </si>
  <si>
    <t>1.71%</t>
  </si>
  <si>
    <t>2.19%</t>
  </si>
  <si>
    <t>1.67%</t>
  </si>
  <si>
    <t>1.36%</t>
  </si>
  <si>
    <t>1.44%</t>
  </si>
  <si>
    <t>1.5%</t>
  </si>
  <si>
    <t>EPS
                                    2</t>
  </si>
  <si>
    <t>13.76</t>
  </si>
  <si>
    <t>17.92</t>
  </si>
  <si>
    <t>Distribution rate</t>
  </si>
  <si>
    <t>41.6%</t>
  </si>
  <si>
    <t>36.5%</t>
  </si>
  <si>
    <t>26.1%</t>
  </si>
  <si>
    <t>54.3%</t>
  </si>
  <si>
    <t>23.6%</t>
  </si>
  <si>
    <t>21.2%</t>
  </si>
  <si>
    <t>17.3%</t>
  </si>
  <si>
    <t>16.6%</t>
  </si>
  <si>
    <t>Net sales
                                    1</t>
  </si>
  <si>
    <t>10,087</t>
  </si>
  <si>
    <t>10,095</t>
  </si>
  <si>
    <t>10,188</t>
  </si>
  <si>
    <t>10,193</t>
  </si>
  <si>
    <t>11,132</t>
  </si>
  <si>
    <t>11,858</t>
  </si>
  <si>
    <t>12,369</t>
  </si>
  <si>
    <t>12,620</t>
  </si>
  <si>
    <t>EBITDA
                                    1</t>
  </si>
  <si>
    <t>993.4</t>
  </si>
  <si>
    <t>956.2</t>
  </si>
  <si>
    <t>1,258</t>
  </si>
  <si>
    <t>1,386</t>
  </si>
  <si>
    <t>1,510</t>
  </si>
  <si>
    <t>1,547</t>
  </si>
  <si>
    <t>EBIT
                                    1</t>
  </si>
  <si>
    <t>845.2</t>
  </si>
  <si>
    <t>752.8</t>
  </si>
  <si>
    <t>915.5</t>
  </si>
  <si>
    <t>466.9</t>
  </si>
  <si>
    <t>1,086</t>
  </si>
  <si>
    <t>1,236</t>
  </si>
  <si>
    <t>1,264</t>
  </si>
  <si>
    <t>Net income
                                    1</t>
  </si>
  <si>
    <t>423.1</t>
  </si>
  <si>
    <t>613.5</t>
  </si>
  <si>
    <t>276.6</t>
  </si>
  <si>
    <t>642.5</t>
  </si>
  <si>
    <t>722.4</t>
  </si>
  <si>
    <t>916</t>
  </si>
  <si>
    <t>977.3</t>
  </si>
  <si>
    <t>2,007</t>
  </si>
  <si>
    <t>2,253</t>
  </si>
  <si>
    <t>2,202</t>
  </si>
  <si>
    <t>Reference price
                                    2</t>
  </si>
  <si>
    <t>131.08</t>
  </si>
  <si>
    <t>136.22</t>
  </si>
  <si>
    <t>155.86</t>
  </si>
  <si>
    <t>125.06</t>
  </si>
  <si>
    <t>168.49</t>
  </si>
  <si>
    <t>215.43</t>
  </si>
  <si>
    <t>Nbr of stocks (in thousands)</t>
  </si>
  <si>
    <t>60,636</t>
  </si>
  <si>
    <t>58,759</t>
  </si>
  <si>
    <t>56,977</t>
  </si>
  <si>
    <t>52,831</t>
  </si>
  <si>
    <t>52,591</t>
  </si>
  <si>
    <t>51,287</t>
  </si>
  <si>
    <t>Announcement Date</t>
  </si>
  <si>
    <t>2/11/20</t>
  </si>
  <si>
    <t>2/9/21</t>
  </si>
  <si>
    <t>2/8/22</t>
  </si>
  <si>
    <t>2/7/23</t>
  </si>
  <si>
    <t>2/6/24</t>
  </si>
  <si>
    <t>address1</t>
  </si>
  <si>
    <t>260 Interstate North Circle SE</t>
  </si>
  <si>
    <t>city</t>
  </si>
  <si>
    <t>Atlanta</t>
  </si>
  <si>
    <t>state</t>
  </si>
  <si>
    <t>GA</t>
  </si>
  <si>
    <t>zip</t>
  </si>
  <si>
    <t>30339-2210</t>
  </si>
  <si>
    <t>country</t>
  </si>
  <si>
    <t>phone</t>
  </si>
  <si>
    <t>770 763 1000</t>
  </si>
  <si>
    <t>website</t>
  </si>
  <si>
    <t>https://www.assurant.com</t>
  </si>
  <si>
    <t>industry</t>
  </si>
  <si>
    <t>Insurance - Property &amp; Casualty</t>
  </si>
  <si>
    <t>industryKey</t>
  </si>
  <si>
    <t>insurance-property-casualty</t>
  </si>
  <si>
    <t>industryDisp</t>
  </si>
  <si>
    <t>sector</t>
  </si>
  <si>
    <t>Financial Services</t>
  </si>
  <si>
    <t>sectorKey</t>
  </si>
  <si>
    <t>financial-services</t>
  </si>
  <si>
    <t>sectorDisp</t>
  </si>
  <si>
    <t>longBusinessSummary</t>
  </si>
  <si>
    <t>Assurant, Inc., together with its subsidiaries, provides business services that supports, protects, and connects consumer purchases in North America, Latin America, Europe, and the Asia Pacific. The company operates through two segments: Global Lifestyle and Global Housing. The Global Lifestyle segment offers mobile device solutions, and extended service contracts and related services for consumer electronics and appliances, and credit and other insurance products; and vehicle protection, commercial equipment, and other related services. The Global Housing segment provides lender-placed homeowners, manufactured housing, and flood insurance; renters insurance and related products; and voluntary manufactured housing, and condominium and homeowners insurance products. The company was formerly known as Fortis, Inc. and changed its name to Assurant, Inc. in February 2004. Assurant, Inc. was founded in 1892 and is headquartered in Atlanta, Georgia.</t>
  </si>
  <si>
    <t>fullTimeEmployees</t>
  </si>
  <si>
    <t>companyOfficers</t>
  </si>
  <si>
    <t>[{'maxAge': 1, 'name': 'Mr. Keith Warner Demmings', 'age': 50, 'title': 'President, CEO &amp; Director', 'yearBorn': 1973, 'fiscalYear': 2023, 'totalPay': 3658087, 'exercisedValue': 0, 'unexercisedValue': 0}, {'maxAge': 1, 'name': 'Mr. Keith Roland Meier', 'age': 53, 'title': 'Executive VP &amp; CFO', 'yearBorn': 1970, 'fiscalYear': 2023, 'totalPay': 1828781, 'exercisedValue': 0, 'unexercisedValue': 0}, {'maxAge': 1, 'name': 'Ms. Francesca L. Luthi', 'age': 47, 'title': 'Executive VP &amp; COO', 'yearBorn': 1976, 'fiscalYear': 2023, 'totalPay': 1537705, 'exercisedValue': 0, 'unexercisedValue': 0}, {'maxAge': 1, 'name': 'Mr. Robert A. Lonergan', 'age': 46, 'title': 'Executive VP and Chief Marketing &amp; Risk Officer', 'yearBorn': 1977, 'fiscalYear': 2023, 'totalPay': 1412977, 'exercisedValue': 0, 'unexercisedValue': 0}, {'maxAge': 1, 'name': 'Mr. Michael P. Campbell', 'age': 55, 'title': 'Executive VP &amp; President of Global Housing', 'yearBorn': 1968, 'fiscalYear': 2023, 'totalPay': 1417504, 'exercisedValue': 0, 'unexercisedValue': 0}, {'maxAge': 1, 'name': 'Mr. Vadim  Lipovetsky', 'title': 'Chief Investment Officer', 'fiscalYear': 2023, 'exercisedValue': 0, 'unexercisedValue': 0}, {'maxAge': 1, 'name': 'Mr. Dimitry  DiRienzo', 'age': 46, 'title': 'Senior VP, Chief Accounting Officer &amp; Controller', 'yearBorn': 1977, 'fiscalYear': 2023, 'exercisedValue': 0, 'unexercisedValue': 0}, {'maxAge': 1, 'name': 'Mr. Joseph A. Surber III', 'title': 'Chief Technology Officer', 'fiscalYear': 2023, 'exercisedValue': 0, 'unexercisedValue': 0}, {'maxAge': 1, 'name': 'Mr. Sean  Moshier', 'title': 'Vice President of Investor Relations', 'fiscalYear': 2023, 'exercisedValue': 0, 'unexercisedValue': 0}, {'maxAge': 1, 'name': 'Mr. Jay E. Rosenblum', 'age': 56, 'title': 'Executive VP &amp; Chief Legal Officer',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</si>
  <si>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</si>
  <si>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</si>
  <si>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</si>
  <si>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</si>
  <si>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</si>
  <si>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</si>
  <si>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</si>
  <si>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</si>
  <si>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</si>
  <si>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</si>
  <si>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</si>
  <si>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</si>
  <si>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</si>
  <si>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</si>
  <si>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</si>
  <si>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</si>
  <si>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</si>
  <si>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</si>
  <si>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</si>
  <si>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</si>
  <si>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</si>
  <si>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</si>
  <si>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</si>
  <si>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</si>
  <si>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</si>
  <si>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</si>
  <si>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</si>
  <si>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</si>
  <si>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</si>
  <si>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</si>
  <si>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</si>
  <si>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</si>
  <si>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</si>
  <si>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</si>
  <si>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</si>
  <si>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</si>
  <si>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</si>
  <si>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</si>
  <si>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</si>
  <si>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</si>
  <si>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</si>
  <si>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</si>
  <si>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</si>
  <si>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</si>
  <si>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</si>
  <si>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</si>
  <si>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</si>
  <si>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</si>
  <si>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</si>
  <si>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</si>
  <si>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</si>
  <si>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</si>
  <si>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</si>
  <si>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</si>
  <si>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</si>
  <si>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</si>
  <si>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</si>
  <si>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</si>
  <si>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</si>
  <si>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</si>
  <si>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</si>
  <si>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</si>
  <si>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</si>
  <si>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</si>
  <si>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</si>
  <si>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</si>
  <si>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</si>
  <si>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</si>
  <si>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</si>
  <si>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</si>
  <si>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</si>
  <si>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</si>
  <si>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</si>
  <si>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</si>
  <si>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</si>
  <si>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</si>
  <si>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</si>
  <si>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</si>
  <si>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Assurant, Inc.</t>
  </si>
  <si>
    <t>longName</t>
  </si>
  <si>
    <t>firstTradeDateEpochUtc</t>
  </si>
  <si>
    <t>timeZoneFullName</t>
  </si>
  <si>
    <t>America/New_York</t>
  </si>
  <si>
    <t>timeZoneShortName</t>
  </si>
  <si>
    <t>EST</t>
  </si>
  <si>
    <t>uuid</t>
  </si>
  <si>
    <t>89b06828-ecb1-357b-8859-57b659e60b4b</t>
  </si>
  <si>
    <t>messageBoardId</t>
  </si>
  <si>
    <t>finmb_4026111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</si>
  <si>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</si>
  <si>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</si>
  <si>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</si>
  <si>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</si>
  <si>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</si>
  <si>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</si>
  <si>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</si>
  <si>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</si>
  <si>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</si>
  <si>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</si>
  <si>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</si>
  <si>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</si>
  <si>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</si>
  <si>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</si>
  <si>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</si>
  <si>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</si>
  <si>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</si>
  <si>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</si>
  <si>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</si>
  <si>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</si>
  <si>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</si>
  <si>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</si>
  <si>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</si>
  <si>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</si>
  <si>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</si>
  <si>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</si>
  <si>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</si>
  <si>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</si>
  <si>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</si>
  <si>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</si>
  <si>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</si>
  <si>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</si>
  <si>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</si>
  <si>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</si>
  <si>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</si>
  <si>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</si>
  <si>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</si>
  <si>
    <t>Ticker</t>
  </si>
  <si>
    <t>%</t>
  </si>
  <si>
    <t>EOY</t>
  </si>
  <si>
    <t>Median</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</si>
</sst>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00"/>
    <numFmt numFmtId="165" formatCode="M/d/yyyy"/>
  </numFmts>
  <fonts count="7">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
      <b/>
      <sz val="11.0"/>
      <color rgb="FFFFFFFF"/>
      <name val="Calibri"/>
    </font>
  </fonts>
  <fills count="5">
    <fill>
      <patternFill patternType="none"/>
    </fill>
    <fill>
      <patternFill patternType="lightGray"/>
    </fill>
    <fill>
      <patternFill patternType="solid">
        <fgColor rgb="FFFF0000"/>
        <bgColor rgb="FFFF0000"/>
      </patternFill>
    </fill>
    <fill>
      <patternFill patternType="solid">
        <fgColor rgb="FF9900FF"/>
        <bgColor rgb="FF9900FF"/>
      </patternFill>
    </fill>
    <fill>
      <patternFill patternType="solid">
        <fgColor rgb="FFFAF9F9"/>
        <bgColor rgb="FFFAF9F9"/>
      </patternFill>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9">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xf borderId="0" fillId="0" fontId="2" numFmtId="49" xfId="0" applyAlignment="1" applyFont="1" applyNumberFormat="1">
      <alignment vertical="bottom"/>
    </xf>
    <xf borderId="0" fillId="0" fontId="3" numFmtId="49" xfId="0" applyAlignment="1" applyFont="1" applyNumberFormat="1">
      <alignment horizontal="center" vertical="bottom"/>
    </xf>
    <xf borderId="0" fillId="2" fontId="6" numFmtId="49" xfId="0" applyAlignment="1" applyFill="1" applyFont="1" applyNumberFormat="1">
      <alignment horizontal="center" vertical="bottom"/>
    </xf>
    <xf borderId="0" fillId="3" fontId="2" numFmtId="10" xfId="0" applyAlignment="1" applyFill="1" applyFont="1" applyNumberFormat="1">
      <alignment vertical="bottom"/>
    </xf>
    <xf borderId="0" fillId="0" fontId="2" numFmtId="10" xfId="0" applyAlignment="1" applyFont="1" applyNumberFormat="1">
      <alignment horizontal="center" vertical="bottom"/>
    </xf>
    <xf borderId="0" fillId="3" fontId="6" numFmtId="10" xfId="0" applyAlignment="1" applyFont="1" applyNumberFormat="1">
      <alignment horizontal="center" vertical="bottom"/>
    </xf>
    <xf borderId="0" fillId="0" fontId="2" numFmtId="10" xfId="0" applyAlignment="1" applyFont="1" applyNumberFormat="1">
      <alignment vertical="bottom"/>
    </xf>
    <xf borderId="0" fillId="0" fontId="2" numFmtId="49" xfId="0" applyAlignment="1" applyFont="1" applyNumberFormat="1">
      <alignment horizontal="center" vertical="bottom"/>
    </xf>
    <xf borderId="0" fillId="0" fontId="2" numFmtId="165" xfId="0" applyAlignment="1" applyFont="1" applyNumberFormat="1">
      <alignment horizontal="right" vertical="bottom"/>
    </xf>
    <xf borderId="0" fillId="0" fontId="2" numFmtId="165" xfId="0" applyAlignment="1" applyFont="1" applyNumberFormat="1">
      <alignment horizontal="center" vertical="bottom"/>
    </xf>
    <xf borderId="0" fillId="0" fontId="2" numFmtId="165" xfId="0" applyAlignment="1" applyFont="1" applyNumberFormat="1">
      <alignment vertical="bottom"/>
    </xf>
    <xf borderId="0" fillId="4" fontId="2" numFmtId="0" xfId="0" applyAlignment="1" applyFill="1" applyFont="1">
      <alignment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sura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212.1</v>
      </c>
      <c r="C4" s="2"/>
      <c r="D4" s="2"/>
      <c r="E4" s="2"/>
      <c r="F4" s="2"/>
      <c r="G4" s="2"/>
      <c r="H4" s="2"/>
      <c r="I4" s="2"/>
      <c r="J4" s="2"/>
      <c r="K4" s="2"/>
      <c r="L4" s="2"/>
      <c r="M4" s="2"/>
      <c r="N4" s="2"/>
      <c r="O4" s="2"/>
      <c r="P4" s="2"/>
      <c r="Q4" s="2"/>
      <c r="R4" s="2"/>
      <c r="S4" s="2"/>
      <c r="T4" s="2"/>
      <c r="U4" s="2"/>
      <c r="V4" s="2"/>
      <c r="W4" s="2"/>
      <c r="X4" s="2"/>
      <c r="Y4" s="2"/>
      <c r="Z4" s="2"/>
    </row>
    <row r="5">
      <c r="A5" s="1" t="s">
        <v>7</v>
      </c>
      <c r="B5" s="1">
        <v>1696.936373892194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1.1048844288E10</v>
      </c>
      <c r="C8" s="2"/>
      <c r="D8" s="2"/>
      <c r="E8" s="2"/>
      <c r="F8" s="2"/>
      <c r="G8" s="2"/>
      <c r="H8" s="2"/>
      <c r="I8" s="2"/>
      <c r="J8" s="2"/>
      <c r="K8" s="2"/>
      <c r="L8" s="2"/>
      <c r="M8" s="2"/>
      <c r="N8" s="2"/>
      <c r="O8" s="2"/>
      <c r="P8" s="2"/>
      <c r="Q8" s="2"/>
      <c r="R8" s="2"/>
      <c r="S8" s="2"/>
      <c r="T8" s="2"/>
      <c r="U8" s="2"/>
      <c r="V8" s="2"/>
      <c r="W8" s="2"/>
      <c r="X8" s="2"/>
      <c r="Y8" s="2"/>
      <c r="Z8" s="2"/>
    </row>
    <row r="9">
      <c r="A9" s="1" t="s">
        <v>13</v>
      </c>
      <c r="B9" s="1">
        <v>102.291</v>
      </c>
      <c r="C9" s="2"/>
      <c r="D9" s="2"/>
      <c r="E9" s="2"/>
      <c r="F9" s="2"/>
      <c r="G9" s="2"/>
      <c r="H9" s="2"/>
      <c r="I9" s="2"/>
      <c r="J9" s="2"/>
      <c r="K9" s="2"/>
      <c r="L9" s="2"/>
      <c r="M9" s="2"/>
      <c r="N9" s="2"/>
      <c r="O9" s="2"/>
      <c r="P9" s="2"/>
      <c r="Q9" s="2"/>
      <c r="R9" s="2"/>
      <c r="S9" s="2"/>
      <c r="T9" s="2"/>
      <c r="U9" s="2"/>
      <c r="V9" s="2"/>
      <c r="W9" s="2"/>
      <c r="X9" s="2"/>
      <c r="Y9" s="2"/>
      <c r="Z9" s="2"/>
    </row>
    <row r="10">
      <c r="A10" s="1" t="s">
        <v>14</v>
      </c>
      <c r="B10" s="1">
        <v>11.869696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471.0</v>
      </c>
      <c r="C3" s="1">
        <v>142.0</v>
      </c>
      <c r="D3" s="1">
        <v>565.0</v>
      </c>
      <c r="E3" s="1">
        <v>520.0</v>
      </c>
      <c r="F3" s="1">
        <v>253.0</v>
      </c>
      <c r="G3" s="1">
        <v>387.0</v>
      </c>
      <c r="H3" s="1">
        <v>443.0</v>
      </c>
      <c r="I3" s="1">
        <v>1370.0</v>
      </c>
      <c r="J3" s="1">
        <v>277.0</v>
      </c>
      <c r="K3" s="1">
        <v>642.0</v>
      </c>
      <c r="L3" s="1">
        <f>IF(K3*FORECAST(L2,B3:K3,B2:K2)&gt;0,FORECAST(L2,B3:K3,B2:K2),K3)*$X$1</f>
        <v>720.7333333</v>
      </c>
      <c r="M3" s="1">
        <f>IF(L3*FORECAST(M2,B3:L3,B2:L2)&gt;0,FORECAST(M2,B3:L3,B2:L2),L3)*$X$1</f>
        <v>759.5939394</v>
      </c>
      <c r="N3" s="1">
        <f>IF(M3*FORECAST(N2,B3:M3,B2:M2)&gt;0,FORECAST(N2,B3:M3,B2:M2),M3)*$X$1</f>
        <v>798.4545455</v>
      </c>
      <c r="O3" s="1">
        <f>IF(N3*FORECAST(O2,B3:N3,B2:N2)&gt;0,FORECAST(O2,B3:N3,B2:N2),N3)*$X$1</f>
        <v>837.3151515</v>
      </c>
      <c r="P3" s="1">
        <f>IF(O3*FORECAST(P2,B3:O3,B2:O2)&gt;0,FORECAST(P2,B3:O3,B2:O2),O3)*$X$1</f>
        <v>876.1757576</v>
      </c>
      <c r="Q3" s="1">
        <f>IF(P3*FORECAST(Q2,B3:P3,B2:P2)&gt;0,FORECAST(Q2,B3:P3,B2:P2),P3)*$X$1</f>
        <v>915.0363636</v>
      </c>
      <c r="R3" s="1">
        <f>IF(Q3*FORECAST(R2,B3:Q3,B2:Q2)&gt;0,FORECAST(R2,B3:Q3,B2:Q2),Q3)*$X$1</f>
        <v>953.8969697</v>
      </c>
      <c r="S3" s="5">
        <f>IF(R3*FORECAST(S2,B3:R3,B2:R2)&gt;0,FORECAST(S2,B3:R3,B2:R2),R3)*$X$1</f>
        <v>992.7575758</v>
      </c>
      <c r="T3" s="5">
        <f>IF(S3*FORECAST(T2,B3:S3,B2:S2)&gt;0,FORECAST(T2,B3:S3,B2:S2),S3)*$X$1</f>
        <v>1031.618182</v>
      </c>
      <c r="U3" s="5">
        <f>IF(T3*FORECAST(U2,B3:T3,B2:T2)&gt;0,FORECAST(U2,B3:T3,B2:T2),T3)*$X$1</f>
        <v>1070.478788</v>
      </c>
      <c r="V3" s="5">
        <f>IF(U3*FORECAST(V2,B3:U3,B2:U2)&gt;0,FORECAST(V2,B3:U3,B2:U2),U3)*$X$1</f>
        <v>1109.339394</v>
      </c>
      <c r="W3" s="5">
        <f>IF(V3*FORECAST(W2,B3:V3,B2:V2)&gt;0,FORECAST(W2,B3:V3,B2:V2),V3)*$X$1</f>
        <v>1148.2</v>
      </c>
      <c r="X3" s="2"/>
      <c r="Y3" s="2"/>
      <c r="Z3" s="2"/>
    </row>
    <row r="4">
      <c r="A4" s="3" t="s">
        <v>144</v>
      </c>
      <c r="B4" s="1">
        <v>-51.0</v>
      </c>
      <c r="C4" s="1">
        <v>-117.0</v>
      </c>
      <c r="D4" s="1">
        <v>35.0</v>
      </c>
      <c r="E4" s="1">
        <v>452.0</v>
      </c>
      <c r="F4" s="1">
        <v>2009.0</v>
      </c>
      <c r="G4" s="1">
        <v>1790.0</v>
      </c>
      <c r="H4" s="1">
        <v>102.0</v>
      </c>
      <c r="I4" s="1">
        <v>222.0</v>
      </c>
      <c r="J4" s="1">
        <v>633.0</v>
      </c>
      <c r="K4" s="1">
        <v>488.0</v>
      </c>
      <c r="L4" s="2"/>
      <c r="M4" s="2"/>
      <c r="N4" s="2"/>
      <c r="O4" s="2"/>
      <c r="P4" s="2"/>
      <c r="Q4" s="2"/>
      <c r="R4" s="2"/>
      <c r="S4" s="2"/>
      <c r="T4" s="2"/>
      <c r="U4" s="2"/>
      <c r="V4" s="2"/>
      <c r="W4" s="2"/>
      <c r="X4" s="2"/>
      <c r="Y4" s="2"/>
      <c r="Z4" s="2"/>
    </row>
    <row r="5">
      <c r="A5" s="3" t="s">
        <v>1628</v>
      </c>
      <c r="B5" s="1">
        <v>73.0</v>
      </c>
      <c r="C5" s="1">
        <v>69.0</v>
      </c>
      <c r="D5" s="1">
        <v>61.0</v>
      </c>
      <c r="E5" s="1">
        <v>55.0</v>
      </c>
      <c r="F5" s="1">
        <v>59.0</v>
      </c>
      <c r="G5" s="1">
        <v>62.0</v>
      </c>
      <c r="H5" s="1">
        <v>63.0</v>
      </c>
      <c r="I5" s="1">
        <v>60.0</v>
      </c>
      <c r="J5" s="1">
        <v>54.0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(1+0.02)/(0.0744-0.02)</f>
        <v>21528.75</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NPV(0.0744,M3:W3)</f>
        <v>6796.289954</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NPV(0.0744,M16:W16)</f>
        <v>9776.711917</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16573.00187</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488.0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16085.00187</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303.4906013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21528.75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471.0</v>
      </c>
      <c r="C2" s="1">
        <v>142.0</v>
      </c>
      <c r="D2" s="1">
        <v>565.0</v>
      </c>
      <c r="E2" s="1">
        <v>520.0</v>
      </c>
      <c r="F2" s="1">
        <v>251.0</v>
      </c>
      <c r="G2" s="1">
        <v>383.0</v>
      </c>
      <c r="H2" s="1">
        <v>442.0</v>
      </c>
      <c r="I2" s="1">
        <v>1370.0</v>
      </c>
      <c r="J2" s="1">
        <v>277.0</v>
      </c>
      <c r="K2" s="1">
        <v>642.0</v>
      </c>
      <c r="L2" s="2"/>
      <c r="M2" s="2"/>
      <c r="N2" s="2"/>
      <c r="O2" s="2"/>
      <c r="P2" s="2"/>
      <c r="Q2" s="2"/>
      <c r="R2" s="2"/>
      <c r="S2" s="2"/>
      <c r="T2" s="2"/>
      <c r="U2" s="2"/>
      <c r="V2" s="2"/>
      <c r="W2" s="2"/>
      <c r="X2" s="2"/>
      <c r="Y2" s="2"/>
      <c r="Z2" s="2"/>
    </row>
    <row r="3">
      <c r="A3" s="1" t="s">
        <v>18</v>
      </c>
      <c r="B3" s="1">
        <v>68.0</v>
      </c>
      <c r="C3" s="1">
        <v>65.0</v>
      </c>
      <c r="D3" s="1">
        <v>80.0</v>
      </c>
      <c r="E3" s="1">
        <v>43.0</v>
      </c>
      <c r="F3" s="1">
        <v>49.0</v>
      </c>
      <c r="G3" s="1">
        <v>63.0</v>
      </c>
      <c r="H3" s="1">
        <v>70.0</v>
      </c>
      <c r="I3" s="1">
        <v>82.0</v>
      </c>
      <c r="J3" s="1">
        <v>87.0</v>
      </c>
      <c r="K3" s="1">
        <v>98.0</v>
      </c>
      <c r="L3" s="2"/>
      <c r="M3" s="2"/>
      <c r="N3" s="2"/>
      <c r="O3" s="2"/>
      <c r="P3" s="2"/>
      <c r="Q3" s="2"/>
      <c r="R3" s="2"/>
      <c r="S3" s="2"/>
      <c r="T3" s="2"/>
      <c r="U3" s="2"/>
      <c r="V3" s="2"/>
      <c r="W3" s="2"/>
      <c r="X3" s="2"/>
      <c r="Y3" s="2"/>
      <c r="Z3" s="2"/>
    </row>
    <row r="4">
      <c r="A4" s="1" t="s">
        <v>19</v>
      </c>
      <c r="B4" s="1">
        <v>63.0</v>
      </c>
      <c r="C4" s="1">
        <v>71.0</v>
      </c>
      <c r="D4" s="1">
        <v>44.0</v>
      </c>
      <c r="E4" s="1">
        <v>72.0</v>
      </c>
      <c r="F4" s="1">
        <v>77.0</v>
      </c>
      <c r="G4" s="1">
        <v>62.0</v>
      </c>
      <c r="H4" s="1">
        <v>73.0</v>
      </c>
      <c r="I4" s="1">
        <v>88.0</v>
      </c>
      <c r="J4" s="1">
        <v>94.0</v>
      </c>
      <c r="K4" s="1">
        <v>98.0</v>
      </c>
      <c r="L4" s="2"/>
      <c r="M4" s="2"/>
      <c r="N4" s="2"/>
      <c r="O4" s="2"/>
      <c r="P4" s="2"/>
      <c r="Q4" s="2"/>
      <c r="R4" s="2"/>
      <c r="S4" s="2"/>
      <c r="T4" s="2"/>
      <c r="U4" s="2"/>
      <c r="V4" s="2"/>
      <c r="W4" s="2"/>
      <c r="X4" s="2"/>
      <c r="Y4" s="2"/>
      <c r="Z4" s="2"/>
    </row>
    <row r="5">
      <c r="A5" s="1" t="s">
        <v>20</v>
      </c>
      <c r="B5" s="1">
        <v>132.0</v>
      </c>
      <c r="C5" s="1">
        <v>137.0</v>
      </c>
      <c r="D5" s="1">
        <v>125.0</v>
      </c>
      <c r="E5" s="1">
        <v>116.0</v>
      </c>
      <c r="F5" s="1">
        <v>127.0</v>
      </c>
      <c r="G5" s="1">
        <v>126.0</v>
      </c>
      <c r="H5" s="1">
        <v>144.0</v>
      </c>
      <c r="I5" s="1">
        <v>172.0</v>
      </c>
      <c r="J5" s="1">
        <v>182.0</v>
      </c>
      <c r="K5" s="1">
        <v>196.0</v>
      </c>
      <c r="L5" s="2"/>
      <c r="M5" s="2"/>
      <c r="N5" s="2"/>
      <c r="O5" s="2"/>
      <c r="P5" s="2"/>
      <c r="Q5" s="2"/>
      <c r="R5" s="2"/>
      <c r="S5" s="2"/>
      <c r="T5" s="2"/>
      <c r="U5" s="2"/>
      <c r="V5" s="2"/>
      <c r="W5" s="2"/>
      <c r="X5" s="2"/>
      <c r="Y5" s="2"/>
      <c r="Z5" s="2"/>
    </row>
    <row r="6">
      <c r="A6" s="1" t="s">
        <v>21</v>
      </c>
      <c r="B6" s="1">
        <v>21.0</v>
      </c>
      <c r="C6" s="1">
        <v>-1.0</v>
      </c>
      <c r="D6" s="1">
        <v>0.0</v>
      </c>
      <c r="E6" s="1">
        <v>0.0</v>
      </c>
      <c r="F6" s="1">
        <v>-35.0</v>
      </c>
      <c r="G6" s="1">
        <v>2.0</v>
      </c>
      <c r="H6" s="1">
        <v>-10.0</v>
      </c>
      <c r="I6" s="1">
        <v>0.0</v>
      </c>
      <c r="J6" s="1">
        <v>0.0</v>
      </c>
      <c r="K6" s="1">
        <v>0.0</v>
      </c>
      <c r="L6" s="2"/>
      <c r="M6" s="2"/>
      <c r="N6" s="2"/>
      <c r="O6" s="2"/>
      <c r="P6" s="2"/>
      <c r="Q6" s="2"/>
      <c r="R6" s="2"/>
      <c r="S6" s="2"/>
      <c r="T6" s="2"/>
      <c r="U6" s="2"/>
      <c r="V6" s="2"/>
      <c r="W6" s="2"/>
      <c r="X6" s="2"/>
      <c r="Y6" s="2"/>
      <c r="Z6" s="2"/>
    </row>
    <row r="7">
      <c r="A7" s="1" t="s">
        <v>22</v>
      </c>
      <c r="B7" s="1">
        <v>-60.0</v>
      </c>
      <c r="C7" s="1">
        <v>-31.0</v>
      </c>
      <c r="D7" s="1">
        <v>-162.0</v>
      </c>
      <c r="E7" s="1">
        <v>-30.0</v>
      </c>
      <c r="F7" s="1">
        <v>48.0</v>
      </c>
      <c r="G7" s="1">
        <v>96.0</v>
      </c>
      <c r="H7" s="1">
        <v>16.0</v>
      </c>
      <c r="I7" s="1">
        <v>-128.0</v>
      </c>
      <c r="J7" s="1">
        <v>180.0</v>
      </c>
      <c r="K7" s="1">
        <v>68.0</v>
      </c>
      <c r="L7" s="2"/>
      <c r="M7" s="2"/>
      <c r="N7" s="2"/>
      <c r="O7" s="2"/>
      <c r="P7" s="2"/>
      <c r="Q7" s="2"/>
      <c r="R7" s="2"/>
      <c r="S7" s="2"/>
      <c r="T7" s="2"/>
      <c r="U7" s="2"/>
      <c r="V7" s="2"/>
      <c r="W7" s="2"/>
      <c r="X7" s="2"/>
      <c r="Y7" s="2"/>
      <c r="Z7" s="2"/>
    </row>
    <row r="8">
      <c r="A8" s="1" t="s">
        <v>23</v>
      </c>
      <c r="B8" s="1">
        <v>5.0</v>
      </c>
      <c r="C8" s="1">
        <v>1.0</v>
      </c>
      <c r="D8" s="1">
        <v>16.0</v>
      </c>
      <c r="E8" s="1">
        <v>2.0</v>
      </c>
      <c r="F8" s="1">
        <v>20.0</v>
      </c>
      <c r="G8" s="1">
        <v>16.0</v>
      </c>
      <c r="H8" s="1">
        <v>140.0</v>
      </c>
      <c r="I8" s="1">
        <v>1.0</v>
      </c>
      <c r="J8" s="1">
        <v>7.0</v>
      </c>
      <c r="K8" s="1">
        <v>0.0</v>
      </c>
      <c r="L8" s="2"/>
      <c r="M8" s="2"/>
      <c r="N8" s="2"/>
      <c r="O8" s="2"/>
      <c r="P8" s="2"/>
      <c r="Q8" s="2"/>
      <c r="R8" s="2"/>
      <c r="S8" s="2"/>
      <c r="T8" s="2"/>
      <c r="U8" s="2"/>
      <c r="V8" s="2"/>
      <c r="W8" s="2"/>
      <c r="X8" s="2"/>
      <c r="Y8" s="2"/>
      <c r="Z8" s="2"/>
    </row>
    <row r="9">
      <c r="A9" s="1" t="s">
        <v>24</v>
      </c>
      <c r="B9" s="1">
        <v>-228.0</v>
      </c>
      <c r="C9" s="1">
        <v>-235.0</v>
      </c>
      <c r="D9" s="1">
        <v>-230.0</v>
      </c>
      <c r="E9" s="1">
        <v>-359.0</v>
      </c>
      <c r="F9" s="1">
        <v>-602.0</v>
      </c>
      <c r="G9" s="1">
        <v>-889.0</v>
      </c>
      <c r="H9" s="1">
        <v>-547.0</v>
      </c>
      <c r="I9" s="1">
        <v>-879.0</v>
      </c>
      <c r="J9" s="1">
        <v>-552.0</v>
      </c>
      <c r="K9" s="1">
        <v>-81.0</v>
      </c>
      <c r="L9" s="2"/>
      <c r="M9" s="2"/>
      <c r="N9" s="2"/>
      <c r="O9" s="2"/>
      <c r="P9" s="2"/>
      <c r="Q9" s="2"/>
      <c r="R9" s="2"/>
      <c r="S9" s="2"/>
      <c r="T9" s="2"/>
      <c r="U9" s="2"/>
      <c r="V9" s="2"/>
      <c r="W9" s="2"/>
      <c r="X9" s="2"/>
      <c r="Y9" s="2"/>
      <c r="Z9" s="2"/>
    </row>
    <row r="10">
      <c r="A10" s="1" t="s">
        <v>25</v>
      </c>
      <c r="B10" s="1">
        <v>0.0</v>
      </c>
      <c r="C10" s="1">
        <v>140.0</v>
      </c>
      <c r="D10" s="1">
        <v>0.0</v>
      </c>
      <c r="E10" s="1">
        <v>0.0</v>
      </c>
      <c r="F10" s="1">
        <v>0.0</v>
      </c>
      <c r="G10" s="1">
        <v>0.0</v>
      </c>
      <c r="H10" s="1">
        <v>0.0</v>
      </c>
      <c r="I10" s="1">
        <v>0.0</v>
      </c>
      <c r="J10" s="1">
        <v>41.0</v>
      </c>
      <c r="K10" s="1">
        <v>34.0</v>
      </c>
      <c r="L10" s="2"/>
      <c r="M10" s="2"/>
      <c r="N10" s="2"/>
      <c r="O10" s="2"/>
      <c r="P10" s="2"/>
      <c r="Q10" s="2"/>
      <c r="R10" s="2"/>
      <c r="S10" s="2"/>
      <c r="T10" s="2"/>
      <c r="U10" s="2"/>
      <c r="V10" s="2"/>
      <c r="W10" s="2"/>
      <c r="X10" s="2"/>
      <c r="Y10" s="2"/>
      <c r="Z10" s="2"/>
    </row>
    <row r="11">
      <c r="A11" s="1" t="s">
        <v>26</v>
      </c>
      <c r="B11" s="1">
        <v>-17.0</v>
      </c>
      <c r="C11" s="1">
        <v>-23.0</v>
      </c>
      <c r="D11" s="1">
        <v>-7.0</v>
      </c>
      <c r="E11" s="1">
        <v>-14.0</v>
      </c>
      <c r="F11" s="1">
        <v>-20.0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49.0</v>
      </c>
      <c r="C12" s="1">
        <v>38.0</v>
      </c>
      <c r="D12" s="1">
        <v>41.0</v>
      </c>
      <c r="E12" s="1">
        <v>35.0</v>
      </c>
      <c r="F12" s="1">
        <v>57.0</v>
      </c>
      <c r="G12" s="1">
        <v>55.0</v>
      </c>
      <c r="H12" s="1">
        <v>57.0</v>
      </c>
      <c r="I12" s="1">
        <v>66.0</v>
      </c>
      <c r="J12" s="1">
        <v>62.0</v>
      </c>
      <c r="K12" s="1">
        <v>75.0</v>
      </c>
      <c r="L12" s="2"/>
      <c r="M12" s="2"/>
      <c r="N12" s="2"/>
      <c r="O12" s="2"/>
      <c r="P12" s="2"/>
      <c r="Q12" s="2"/>
      <c r="R12" s="2"/>
      <c r="S12" s="2"/>
      <c r="T12" s="2"/>
      <c r="U12" s="2"/>
      <c r="V12" s="2"/>
      <c r="W12" s="2"/>
      <c r="X12" s="2"/>
      <c r="Y12" s="2"/>
      <c r="Z12" s="2"/>
    </row>
    <row r="13">
      <c r="A13" s="1" t="s">
        <v>28</v>
      </c>
      <c r="B13" s="1">
        <v>-23.0</v>
      </c>
      <c r="C13" s="1">
        <v>15.0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-292.0</v>
      </c>
      <c r="C14" s="1">
        <v>186.0</v>
      </c>
      <c r="D14" s="1">
        <v>-212.0</v>
      </c>
      <c r="E14" s="1">
        <v>-10.0</v>
      </c>
      <c r="F14" s="1">
        <v>-220.0</v>
      </c>
      <c r="G14" s="1">
        <v>-63.0</v>
      </c>
      <c r="H14" s="1">
        <v>186.0</v>
      </c>
      <c r="I14" s="1">
        <v>-424.0</v>
      </c>
      <c r="J14" s="1">
        <v>-466.0</v>
      </c>
      <c r="K14" s="1">
        <v>121.0</v>
      </c>
      <c r="L14" s="2"/>
      <c r="M14" s="2"/>
      <c r="N14" s="2"/>
      <c r="O14" s="2"/>
      <c r="P14" s="2"/>
      <c r="Q14" s="2"/>
      <c r="R14" s="2"/>
      <c r="S14" s="2"/>
      <c r="T14" s="2"/>
      <c r="U14" s="2"/>
      <c r="V14" s="2"/>
      <c r="W14" s="2"/>
      <c r="X14" s="2"/>
      <c r="Y14" s="2"/>
      <c r="Z14" s="2"/>
    </row>
    <row r="15">
      <c r="A15" s="1" t="s">
        <v>30</v>
      </c>
      <c r="B15" s="1">
        <v>-471.0</v>
      </c>
      <c r="C15" s="1">
        <v>-156.0</v>
      </c>
      <c r="D15" s="1">
        <v>-241.0</v>
      </c>
      <c r="E15" s="1">
        <v>-936.0</v>
      </c>
      <c r="F15" s="1">
        <v>609.0</v>
      </c>
      <c r="G15" s="1">
        <v>-397.0</v>
      </c>
      <c r="H15" s="1">
        <v>-233.0</v>
      </c>
      <c r="I15" s="1">
        <v>-446.0</v>
      </c>
      <c r="J15" s="1">
        <v>-810.0</v>
      </c>
      <c r="K15" s="1">
        <v>346.0</v>
      </c>
      <c r="L15" s="2"/>
      <c r="M15" s="2"/>
      <c r="N15" s="2"/>
      <c r="O15" s="2"/>
      <c r="P15" s="2"/>
      <c r="Q15" s="2"/>
      <c r="R15" s="2"/>
      <c r="S15" s="2"/>
      <c r="T15" s="2"/>
      <c r="U15" s="2"/>
      <c r="V15" s="2"/>
      <c r="W15" s="2"/>
      <c r="X15" s="2"/>
      <c r="Y15" s="2"/>
      <c r="Z15" s="2"/>
    </row>
    <row r="16">
      <c r="A16" s="1" t="s">
        <v>31</v>
      </c>
      <c r="B16" s="1">
        <v>-85.0</v>
      </c>
      <c r="C16" s="1">
        <v>-27.0</v>
      </c>
      <c r="D16" s="1">
        <v>4.0</v>
      </c>
      <c r="E16" s="1">
        <v>7.0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267.0</v>
      </c>
      <c r="C17" s="1">
        <v>-140.0</v>
      </c>
      <c r="D17" s="1">
        <v>-36.0</v>
      </c>
      <c r="E17" s="1">
        <v>-35.0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107.0</v>
      </c>
      <c r="C18" s="1">
        <v>12.0</v>
      </c>
      <c r="D18" s="1">
        <v>-25.0</v>
      </c>
      <c r="E18" s="1">
        <v>117.0</v>
      </c>
      <c r="F18" s="1">
        <v>-101.0</v>
      </c>
      <c r="G18" s="1">
        <v>69.0</v>
      </c>
      <c r="H18" s="1">
        <v>41.0</v>
      </c>
      <c r="I18" s="1">
        <v>88.0</v>
      </c>
      <c r="J18" s="1">
        <v>46.0</v>
      </c>
      <c r="K18" s="1">
        <v>-43.0</v>
      </c>
      <c r="L18" s="2"/>
      <c r="M18" s="2"/>
      <c r="N18" s="2"/>
      <c r="O18" s="2"/>
      <c r="P18" s="2"/>
      <c r="Q18" s="2"/>
      <c r="R18" s="2"/>
      <c r="S18" s="2"/>
      <c r="T18" s="2"/>
      <c r="U18" s="2"/>
      <c r="V18" s="2"/>
      <c r="W18" s="2"/>
      <c r="X18" s="2"/>
      <c r="Y18" s="2"/>
      <c r="Z18" s="2"/>
    </row>
    <row r="19">
      <c r="A19" s="1" t="s">
        <v>34</v>
      </c>
      <c r="B19" s="1">
        <v>63.0</v>
      </c>
      <c r="C19" s="1">
        <v>-19.0</v>
      </c>
      <c r="D19" s="1">
        <v>32.0</v>
      </c>
      <c r="E19" s="1">
        <v>-106.0</v>
      </c>
      <c r="F19" s="1">
        <v>137.0</v>
      </c>
      <c r="G19" s="1">
        <v>26.0</v>
      </c>
      <c r="H19" s="1">
        <v>24.0</v>
      </c>
      <c r="I19" s="1">
        <v>-157.0</v>
      </c>
      <c r="J19" s="1">
        <v>88.0</v>
      </c>
      <c r="K19" s="1">
        <v>-92.0</v>
      </c>
      <c r="L19" s="2"/>
      <c r="M19" s="2"/>
      <c r="N19" s="2"/>
      <c r="O19" s="2"/>
      <c r="P19" s="2"/>
      <c r="Q19" s="2"/>
      <c r="R19" s="2"/>
      <c r="S19" s="2"/>
      <c r="T19" s="2"/>
      <c r="U19" s="2"/>
      <c r="V19" s="2"/>
      <c r="W19" s="2"/>
      <c r="X19" s="2"/>
      <c r="Y19" s="2"/>
      <c r="Z19" s="2"/>
    </row>
    <row r="20">
      <c r="A20" s="1" t="s">
        <v>35</v>
      </c>
      <c r="B20" s="1">
        <v>829.0</v>
      </c>
      <c r="C20" s="1">
        <v>314.0</v>
      </c>
      <c r="D20" s="1">
        <v>197.0</v>
      </c>
      <c r="E20" s="1">
        <v>1390.0</v>
      </c>
      <c r="F20" s="1">
        <v>550.0</v>
      </c>
      <c r="G20" s="1">
        <v>1680.0</v>
      </c>
      <c r="H20" s="1">
        <v>988.0</v>
      </c>
      <c r="I20" s="1">
        <v>1450.0</v>
      </c>
      <c r="J20" s="1">
        <v>1880.0</v>
      </c>
      <c r="K20" s="1">
        <v>9.0</v>
      </c>
      <c r="L20" s="2"/>
      <c r="M20" s="2"/>
      <c r="N20" s="2"/>
      <c r="O20" s="2"/>
      <c r="P20" s="2"/>
      <c r="Q20" s="2"/>
      <c r="R20" s="2"/>
      <c r="S20" s="2"/>
      <c r="T20" s="2"/>
      <c r="U20" s="2"/>
      <c r="V20" s="2"/>
      <c r="W20" s="2"/>
      <c r="X20" s="2"/>
      <c r="Y20" s="2"/>
      <c r="Z20" s="2"/>
    </row>
    <row r="21" ht="15.75" customHeight="1">
      <c r="A21" s="1" t="s">
        <v>36</v>
      </c>
      <c r="B21" s="1">
        <v>58.0</v>
      </c>
      <c r="C21" s="1">
        <v>-161.0</v>
      </c>
      <c r="D21" s="1">
        <v>488.0</v>
      </c>
      <c r="E21" s="1">
        <v>30.0</v>
      </c>
      <c r="F21" s="1">
        <v>-221.0</v>
      </c>
      <c r="G21" s="1">
        <v>202.0</v>
      </c>
      <c r="H21" s="1">
        <v>-87.0</v>
      </c>
      <c r="I21" s="1">
        <v>120.0</v>
      </c>
      <c r="J21" s="1">
        <v>-381.0</v>
      </c>
      <c r="K21" s="1">
        <v>3.0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151.0</v>
      </c>
      <c r="J22" s="1">
        <v>0.0</v>
      </c>
      <c r="K22" s="1">
        <v>0.0</v>
      </c>
      <c r="L22" s="2"/>
      <c r="M22" s="2"/>
      <c r="N22" s="2"/>
      <c r="O22" s="2"/>
      <c r="P22" s="2"/>
      <c r="Q22" s="2"/>
      <c r="R22" s="2"/>
      <c r="S22" s="2"/>
      <c r="T22" s="2"/>
      <c r="U22" s="2"/>
      <c r="V22" s="2"/>
      <c r="W22" s="2"/>
      <c r="X22" s="2"/>
      <c r="Y22" s="2"/>
      <c r="Z22" s="2"/>
    </row>
    <row r="23" ht="15.75" customHeight="1">
      <c r="A23" s="1" t="s">
        <v>38</v>
      </c>
      <c r="B23" s="1">
        <v>-431.0</v>
      </c>
      <c r="C23" s="1">
        <v>63.0</v>
      </c>
      <c r="D23" s="1">
        <v>-421.0</v>
      </c>
      <c r="E23" s="1">
        <v>-195.0</v>
      </c>
      <c r="F23" s="1">
        <v>56.0</v>
      </c>
      <c r="G23" s="1">
        <v>105.0</v>
      </c>
      <c r="H23" s="1">
        <v>180.0</v>
      </c>
      <c r="I23" s="1">
        <v>-610.0</v>
      </c>
      <c r="J23" s="1">
        <v>42.0</v>
      </c>
      <c r="K23" s="1">
        <v>-140.0</v>
      </c>
      <c r="L23" s="2"/>
      <c r="M23" s="2"/>
      <c r="N23" s="2"/>
      <c r="O23" s="2"/>
      <c r="P23" s="2"/>
      <c r="Q23" s="2"/>
      <c r="R23" s="2"/>
      <c r="S23" s="2"/>
      <c r="T23" s="2"/>
      <c r="U23" s="2"/>
      <c r="V23" s="2"/>
      <c r="W23" s="2"/>
      <c r="X23" s="2"/>
      <c r="Y23" s="2"/>
      <c r="Z23" s="2"/>
    </row>
    <row r="24" ht="15.75" customHeight="1">
      <c r="A24" s="1" t="s">
        <v>39</v>
      </c>
      <c r="B24" s="1">
        <v>394.0</v>
      </c>
      <c r="C24" s="1">
        <v>255.0</v>
      </c>
      <c r="D24" s="1">
        <v>135.0</v>
      </c>
      <c r="E24" s="1">
        <v>530.0</v>
      </c>
      <c r="F24" s="1">
        <v>657.0</v>
      </c>
      <c r="G24" s="1">
        <v>1410.0</v>
      </c>
      <c r="H24" s="1">
        <v>1340.0</v>
      </c>
      <c r="I24" s="1">
        <v>782.0</v>
      </c>
      <c r="J24" s="1">
        <v>597.0</v>
      </c>
      <c r="K24" s="1">
        <v>1140.0</v>
      </c>
      <c r="L24" s="2"/>
      <c r="M24" s="2"/>
      <c r="N24" s="2"/>
      <c r="O24" s="2"/>
      <c r="P24" s="2"/>
      <c r="Q24" s="2"/>
      <c r="R24" s="2"/>
      <c r="S24" s="2"/>
      <c r="T24" s="2"/>
      <c r="U24" s="2"/>
      <c r="V24" s="2"/>
      <c r="W24" s="2"/>
      <c r="X24" s="2"/>
      <c r="Y24" s="2"/>
      <c r="Z24" s="2"/>
    </row>
    <row r="25" ht="15.75" customHeight="1">
      <c r="A25" s="1" t="s">
        <v>40</v>
      </c>
      <c r="B25" s="1">
        <v>-83.0</v>
      </c>
      <c r="C25" s="1">
        <v>-115.0</v>
      </c>
      <c r="D25" s="1">
        <v>-85.0</v>
      </c>
      <c r="E25" s="1">
        <v>-62.0</v>
      </c>
      <c r="F25" s="1">
        <v>-82.0</v>
      </c>
      <c r="G25" s="1">
        <v>-110.0</v>
      </c>
      <c r="H25" s="1">
        <v>-121.0</v>
      </c>
      <c r="I25" s="1">
        <v>-187.0</v>
      </c>
      <c r="J25" s="1">
        <v>-186.0</v>
      </c>
      <c r="K25" s="1">
        <v>-202.0</v>
      </c>
      <c r="L25" s="2"/>
      <c r="M25" s="2"/>
      <c r="N25" s="2"/>
      <c r="O25" s="2"/>
      <c r="P25" s="2"/>
      <c r="Q25" s="2"/>
      <c r="R25" s="2"/>
      <c r="S25" s="2"/>
      <c r="T25" s="2"/>
      <c r="U25" s="2"/>
      <c r="V25" s="2"/>
      <c r="W25" s="2"/>
      <c r="X25" s="2"/>
      <c r="Y25" s="2"/>
      <c r="Z25" s="2"/>
    </row>
    <row r="26" ht="15.75" customHeight="1">
      <c r="A26" s="1" t="s">
        <v>41</v>
      </c>
      <c r="B26" s="1">
        <v>17.0</v>
      </c>
      <c r="C26" s="1">
        <v>3.0</v>
      </c>
      <c r="D26" s="1">
        <v>0.0</v>
      </c>
      <c r="E26" s="1">
        <v>26.0</v>
      </c>
      <c r="F26" s="1">
        <v>10.0</v>
      </c>
      <c r="G26" s="1">
        <v>3.0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-149.0</v>
      </c>
      <c r="C27" s="1">
        <v>-16.0</v>
      </c>
      <c r="D27" s="1">
        <v>-63.0</v>
      </c>
      <c r="E27" s="1">
        <v>-129.0</v>
      </c>
      <c r="F27" s="1">
        <v>-1110.0</v>
      </c>
      <c r="G27" s="1">
        <v>-7.0</v>
      </c>
      <c r="H27" s="1">
        <v>-812.0</v>
      </c>
      <c r="I27" s="1">
        <v>-16.0</v>
      </c>
      <c r="J27" s="1">
        <v>-72.0</v>
      </c>
      <c r="K27" s="1">
        <v>-30.0</v>
      </c>
      <c r="L27" s="2"/>
      <c r="M27" s="2"/>
      <c r="N27" s="2"/>
      <c r="O27" s="2"/>
      <c r="P27" s="2"/>
      <c r="Q27" s="2"/>
      <c r="R27" s="2"/>
      <c r="S27" s="2"/>
      <c r="T27" s="2"/>
      <c r="U27" s="2"/>
      <c r="V27" s="2"/>
      <c r="W27" s="2"/>
      <c r="X27" s="2"/>
      <c r="Y27" s="2"/>
      <c r="Z27" s="2"/>
    </row>
    <row r="28" ht="15.75" customHeight="1">
      <c r="A28" s="1" t="s">
        <v>43</v>
      </c>
      <c r="B28" s="1">
        <v>0.0</v>
      </c>
      <c r="C28" s="1">
        <v>49.0</v>
      </c>
      <c r="D28" s="1">
        <v>874.0</v>
      </c>
      <c r="E28" s="1">
        <v>0.0</v>
      </c>
      <c r="F28" s="1">
        <v>60.0</v>
      </c>
      <c r="G28" s="1">
        <v>0.0</v>
      </c>
      <c r="H28" s="1">
        <v>550.0</v>
      </c>
      <c r="I28" s="1">
        <v>1320.0</v>
      </c>
      <c r="J28" s="1">
        <v>4.0</v>
      </c>
      <c r="K28" s="1">
        <v>0.0</v>
      </c>
      <c r="L28" s="2"/>
      <c r="M28" s="2"/>
      <c r="N28" s="2"/>
      <c r="O28" s="2"/>
      <c r="P28" s="2"/>
      <c r="Q28" s="2"/>
      <c r="R28" s="2"/>
      <c r="S28" s="2"/>
      <c r="T28" s="2"/>
      <c r="U28" s="2"/>
      <c r="V28" s="2"/>
      <c r="W28" s="2"/>
      <c r="X28" s="2"/>
      <c r="Y28" s="2"/>
      <c r="Z28" s="2"/>
    </row>
    <row r="29" ht="15.75" customHeight="1">
      <c r="A29" s="1" t="s">
        <v>44</v>
      </c>
      <c r="B29" s="1">
        <v>285.0</v>
      </c>
      <c r="C29" s="1">
        <v>138.0</v>
      </c>
      <c r="D29" s="1">
        <v>-278.0</v>
      </c>
      <c r="E29" s="1">
        <v>-339.0</v>
      </c>
      <c r="F29" s="1">
        <v>-977.0</v>
      </c>
      <c r="G29" s="1">
        <v>-458.0</v>
      </c>
      <c r="H29" s="1">
        <v>-433.0</v>
      </c>
      <c r="I29" s="1">
        <v>-698.0</v>
      </c>
      <c r="J29" s="1">
        <v>31.0</v>
      </c>
      <c r="K29" s="1">
        <v>-402.0</v>
      </c>
      <c r="L29" s="2"/>
      <c r="M29" s="2"/>
      <c r="N29" s="2"/>
      <c r="O29" s="2"/>
      <c r="P29" s="2"/>
      <c r="Q29" s="2"/>
      <c r="R29" s="2"/>
      <c r="S29" s="2"/>
      <c r="T29" s="2"/>
      <c r="U29" s="2"/>
      <c r="V29" s="2"/>
      <c r="W29" s="2"/>
      <c r="X29" s="2"/>
      <c r="Y29" s="2"/>
      <c r="Z29" s="2"/>
    </row>
    <row r="30" ht="15.75" customHeight="1">
      <c r="A30" s="1" t="s">
        <v>45</v>
      </c>
      <c r="B30" s="1">
        <v>12.0</v>
      </c>
      <c r="C30" s="1">
        <v>108.0</v>
      </c>
      <c r="D30" s="1">
        <v>273.0</v>
      </c>
      <c r="E30" s="1">
        <v>-42.0</v>
      </c>
      <c r="F30" s="1">
        <v>-94.0</v>
      </c>
      <c r="G30" s="1">
        <v>-51.0</v>
      </c>
      <c r="H30" s="1">
        <v>55.0</v>
      </c>
      <c r="I30" s="1">
        <v>-114.0</v>
      </c>
      <c r="J30" s="1">
        <v>-39.0</v>
      </c>
      <c r="K30" s="1">
        <v>-35.0</v>
      </c>
      <c r="L30" s="2"/>
      <c r="M30" s="2"/>
      <c r="N30" s="2"/>
      <c r="O30" s="2"/>
      <c r="P30" s="2"/>
      <c r="Q30" s="2"/>
      <c r="R30" s="2"/>
      <c r="S30" s="2"/>
      <c r="T30" s="2"/>
      <c r="U30" s="2"/>
      <c r="V30" s="2"/>
      <c r="W30" s="2"/>
      <c r="X30" s="2"/>
      <c r="Y30" s="2"/>
      <c r="Z30" s="2"/>
    </row>
    <row r="31" ht="15.75" customHeight="1">
      <c r="A31" s="1" t="s">
        <v>46</v>
      </c>
      <c r="B31" s="1">
        <v>-78.0</v>
      </c>
      <c r="C31" s="1">
        <v>95.0</v>
      </c>
      <c r="D31" s="1">
        <v>5.0</v>
      </c>
      <c r="E31" s="1">
        <v>4.0</v>
      </c>
      <c r="F31" s="1">
        <v>2.0</v>
      </c>
      <c r="G31" s="1">
        <v>4.0</v>
      </c>
      <c r="H31" s="1">
        <v>25.0</v>
      </c>
      <c r="I31" s="1">
        <v>-142.0</v>
      </c>
      <c r="J31" s="1">
        <v>60.0</v>
      </c>
      <c r="K31" s="1">
        <v>2.0</v>
      </c>
      <c r="L31" s="2"/>
      <c r="M31" s="2"/>
      <c r="N31" s="2"/>
      <c r="O31" s="2"/>
      <c r="P31" s="2"/>
      <c r="Q31" s="2"/>
      <c r="R31" s="2"/>
      <c r="S31" s="2"/>
      <c r="T31" s="2"/>
      <c r="U31" s="2"/>
      <c r="V31" s="2"/>
      <c r="W31" s="2"/>
      <c r="X31" s="2"/>
      <c r="Y31" s="2"/>
      <c r="Z31" s="2"/>
    </row>
    <row r="32" ht="15.75" customHeight="1">
      <c r="A32" s="1" t="s">
        <v>47</v>
      </c>
      <c r="B32" s="1">
        <v>63.0</v>
      </c>
      <c r="C32" s="1">
        <v>264.0</v>
      </c>
      <c r="D32" s="1">
        <v>726.0</v>
      </c>
      <c r="E32" s="1">
        <v>-541.0</v>
      </c>
      <c r="F32" s="1">
        <v>-2200.0</v>
      </c>
      <c r="G32" s="1">
        <v>-620.0</v>
      </c>
      <c r="H32" s="1">
        <v>-735.0</v>
      </c>
      <c r="I32" s="1">
        <v>158.0</v>
      </c>
      <c r="J32" s="1">
        <v>-262.0</v>
      </c>
      <c r="K32" s="1">
        <v>-638.0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200.0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250.0</v>
      </c>
      <c r="E34" s="1">
        <v>672.0</v>
      </c>
      <c r="F34" s="1">
        <v>2770.0</v>
      </c>
      <c r="G34" s="1">
        <v>934.0</v>
      </c>
      <c r="H34" s="1">
        <v>244.0</v>
      </c>
      <c r="I34" s="1">
        <v>347.0</v>
      </c>
      <c r="J34" s="1">
        <v>0.0</v>
      </c>
      <c r="K34" s="1">
        <v>173.0</v>
      </c>
      <c r="L34" s="2"/>
      <c r="M34" s="2"/>
      <c r="N34" s="2"/>
      <c r="O34" s="2"/>
      <c r="P34" s="2"/>
      <c r="Q34" s="2"/>
      <c r="R34" s="2"/>
      <c r="S34" s="2"/>
      <c r="T34" s="2"/>
      <c r="U34" s="2"/>
      <c r="V34" s="2"/>
      <c r="W34" s="2"/>
      <c r="X34" s="2"/>
      <c r="Y34" s="2"/>
      <c r="Z34" s="2"/>
    </row>
    <row r="35" ht="15.75" customHeight="1">
      <c r="A35" s="1" t="s">
        <v>50</v>
      </c>
      <c r="B35" s="1">
        <v>0.0</v>
      </c>
      <c r="C35" s="1">
        <v>0.0</v>
      </c>
      <c r="D35" s="1">
        <v>250.0</v>
      </c>
      <c r="E35" s="1">
        <v>672.0</v>
      </c>
      <c r="F35" s="1">
        <v>2770.0</v>
      </c>
      <c r="G35" s="1">
        <v>934.0</v>
      </c>
      <c r="H35" s="1">
        <v>444.0</v>
      </c>
      <c r="I35" s="1">
        <v>347.0</v>
      </c>
      <c r="J35" s="1">
        <v>0.0</v>
      </c>
      <c r="K35" s="1">
        <v>173.0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0.0</v>
      </c>
      <c r="H36" s="1">
        <v>-200.0</v>
      </c>
      <c r="I36" s="1">
        <v>0.0</v>
      </c>
      <c r="J36" s="1">
        <v>0.0</v>
      </c>
      <c r="K36" s="1">
        <v>0.0</v>
      </c>
      <c r="L36" s="2"/>
      <c r="M36" s="2"/>
      <c r="N36" s="2"/>
      <c r="O36" s="2"/>
      <c r="P36" s="2"/>
      <c r="Q36" s="2"/>
      <c r="R36" s="2"/>
      <c r="S36" s="2"/>
      <c r="T36" s="2"/>
      <c r="U36" s="2"/>
      <c r="V36" s="2"/>
      <c r="W36" s="2"/>
      <c r="X36" s="2"/>
      <c r="Y36" s="2"/>
      <c r="Z36" s="2"/>
    </row>
    <row r="37" ht="15.75" customHeight="1">
      <c r="A37" s="1" t="s">
        <v>52</v>
      </c>
      <c r="B37" s="1">
        <v>-467.0</v>
      </c>
      <c r="C37" s="1">
        <v>0.0</v>
      </c>
      <c r="D37" s="1">
        <v>-373.0</v>
      </c>
      <c r="E37" s="1">
        <v>-221.0</v>
      </c>
      <c r="F37" s="1">
        <v>-942.0</v>
      </c>
      <c r="G37" s="1">
        <v>-699.0</v>
      </c>
      <c r="H37" s="1">
        <v>-1.0</v>
      </c>
      <c r="I37" s="1">
        <v>-420.0</v>
      </c>
      <c r="J37" s="1">
        <v>-75.0</v>
      </c>
      <c r="K37" s="1">
        <v>-225.0</v>
      </c>
      <c r="L37" s="2"/>
      <c r="M37" s="2"/>
      <c r="N37" s="2"/>
      <c r="O37" s="2"/>
      <c r="P37" s="2"/>
      <c r="Q37" s="2"/>
      <c r="R37" s="2"/>
      <c r="S37" s="2"/>
      <c r="T37" s="2"/>
      <c r="U37" s="2"/>
      <c r="V37" s="2"/>
      <c r="W37" s="2"/>
      <c r="X37" s="2"/>
      <c r="Y37" s="2"/>
      <c r="Z37" s="2"/>
    </row>
    <row r="38" ht="15.75" customHeight="1">
      <c r="A38" s="1" t="s">
        <v>53</v>
      </c>
      <c r="B38" s="1">
        <v>-467.0</v>
      </c>
      <c r="C38" s="1">
        <v>0.0</v>
      </c>
      <c r="D38" s="1">
        <v>-373.0</v>
      </c>
      <c r="E38" s="1">
        <v>-221.0</v>
      </c>
      <c r="F38" s="1">
        <v>-942.0</v>
      </c>
      <c r="G38" s="1">
        <v>-699.0</v>
      </c>
      <c r="H38" s="1">
        <v>-201.0</v>
      </c>
      <c r="I38" s="1">
        <v>-420.0</v>
      </c>
      <c r="J38" s="1">
        <v>-75.0</v>
      </c>
      <c r="K38" s="1">
        <v>-225.0</v>
      </c>
      <c r="L38" s="2"/>
      <c r="M38" s="2"/>
      <c r="N38" s="2"/>
      <c r="O38" s="2"/>
      <c r="P38" s="2"/>
      <c r="Q38" s="2"/>
      <c r="R38" s="2"/>
      <c r="S38" s="2"/>
      <c r="T38" s="2"/>
      <c r="U38" s="2"/>
      <c r="V38" s="2"/>
      <c r="W38" s="2"/>
      <c r="X38" s="2"/>
      <c r="Y38" s="2"/>
      <c r="Z38" s="2"/>
    </row>
    <row r="39" ht="15.75" customHeight="1">
      <c r="A39" s="1" t="s">
        <v>54</v>
      </c>
      <c r="B39" s="1">
        <v>-215.0</v>
      </c>
      <c r="C39" s="1">
        <v>-293.0</v>
      </c>
      <c r="D39" s="1">
        <v>-863.0</v>
      </c>
      <c r="E39" s="1">
        <v>-389.0</v>
      </c>
      <c r="F39" s="1">
        <v>-139.0</v>
      </c>
      <c r="G39" s="1">
        <v>-272.0</v>
      </c>
      <c r="H39" s="1">
        <v>-307.0</v>
      </c>
      <c r="I39" s="1">
        <v>-855.0</v>
      </c>
      <c r="J39" s="1">
        <v>-592.0</v>
      </c>
      <c r="K39" s="1">
        <v>-197.0</v>
      </c>
      <c r="L39" s="2"/>
      <c r="M39" s="2"/>
      <c r="N39" s="2"/>
      <c r="O39" s="2"/>
      <c r="P39" s="2"/>
      <c r="Q39" s="2"/>
      <c r="R39" s="2"/>
      <c r="S39" s="2"/>
      <c r="T39" s="2"/>
      <c r="U39" s="2"/>
      <c r="V39" s="2"/>
      <c r="W39" s="2"/>
      <c r="X39" s="2"/>
      <c r="Y39" s="2"/>
      <c r="Z39" s="2"/>
    </row>
    <row r="40" ht="15.75" customHeight="1">
      <c r="A40" s="1" t="s">
        <v>55</v>
      </c>
      <c r="B40" s="1">
        <v>0.0</v>
      </c>
      <c r="C40" s="1">
        <v>0.0</v>
      </c>
      <c r="D40" s="1">
        <v>0.0</v>
      </c>
      <c r="E40" s="1">
        <v>0.0</v>
      </c>
      <c r="F40" s="1">
        <v>276.0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56</v>
      </c>
      <c r="B41" s="1">
        <v>-77.0</v>
      </c>
      <c r="C41" s="1">
        <v>-94.0</v>
      </c>
      <c r="D41" s="1">
        <v>-125.0</v>
      </c>
      <c r="E41" s="1">
        <v>-119.0</v>
      </c>
      <c r="F41" s="1">
        <v>-134.0</v>
      </c>
      <c r="G41" s="1">
        <v>-151.0</v>
      </c>
      <c r="H41" s="1">
        <v>-155.0</v>
      </c>
      <c r="I41" s="1">
        <v>-158.0</v>
      </c>
      <c r="J41" s="1">
        <v>-150.0</v>
      </c>
      <c r="K41" s="1">
        <v>-152.0</v>
      </c>
      <c r="L41" s="2"/>
      <c r="M41" s="2"/>
      <c r="N41" s="2"/>
      <c r="O41" s="2"/>
      <c r="P41" s="2"/>
      <c r="Q41" s="2"/>
      <c r="R41" s="2"/>
      <c r="S41" s="2"/>
      <c r="T41" s="2"/>
      <c r="U41" s="2"/>
      <c r="V41" s="2"/>
      <c r="W41" s="2"/>
      <c r="X41" s="2"/>
      <c r="Y41" s="2"/>
      <c r="Z41" s="2"/>
    </row>
    <row r="42" ht="15.75" customHeight="1">
      <c r="A42" s="1" t="s">
        <v>57</v>
      </c>
      <c r="B42" s="1">
        <v>0.0</v>
      </c>
      <c r="C42" s="1">
        <v>0.0</v>
      </c>
      <c r="D42" s="1">
        <v>0.0</v>
      </c>
      <c r="E42" s="1">
        <v>0.0</v>
      </c>
      <c r="F42" s="1">
        <v>-14.0</v>
      </c>
      <c r="G42" s="1">
        <v>-18.0</v>
      </c>
      <c r="H42" s="1">
        <v>-18.0</v>
      </c>
      <c r="I42" s="1">
        <v>-4.0</v>
      </c>
      <c r="J42" s="1">
        <v>0.0</v>
      </c>
      <c r="K42" s="1">
        <v>0.0</v>
      </c>
      <c r="L42" s="2"/>
      <c r="M42" s="2"/>
      <c r="N42" s="2"/>
      <c r="O42" s="2"/>
      <c r="P42" s="2"/>
      <c r="Q42" s="2"/>
      <c r="R42" s="2"/>
      <c r="S42" s="2"/>
      <c r="T42" s="2"/>
      <c r="U42" s="2"/>
      <c r="V42" s="2"/>
      <c r="W42" s="2"/>
      <c r="X42" s="2"/>
      <c r="Y42" s="2"/>
      <c r="Z42" s="2"/>
    </row>
    <row r="43" ht="15.75" customHeight="1">
      <c r="A43" s="1" t="s">
        <v>58</v>
      </c>
      <c r="B43" s="1">
        <v>-77.0</v>
      </c>
      <c r="C43" s="1">
        <v>-94.0</v>
      </c>
      <c r="D43" s="1">
        <v>-125.0</v>
      </c>
      <c r="E43" s="1">
        <v>-119.0</v>
      </c>
      <c r="F43" s="1">
        <v>-148.0</v>
      </c>
      <c r="G43" s="1">
        <v>-170.0</v>
      </c>
      <c r="H43" s="1">
        <v>-173.0</v>
      </c>
      <c r="I43" s="1">
        <v>-162.0</v>
      </c>
      <c r="J43" s="1">
        <v>-150.0</v>
      </c>
      <c r="K43" s="1">
        <v>-152.0</v>
      </c>
      <c r="L43" s="2"/>
      <c r="M43" s="2"/>
      <c r="N43" s="2"/>
      <c r="O43" s="2"/>
      <c r="P43" s="2"/>
      <c r="Q43" s="2"/>
      <c r="R43" s="2"/>
      <c r="S43" s="2"/>
      <c r="T43" s="2"/>
      <c r="U43" s="2"/>
      <c r="V43" s="2"/>
      <c r="W43" s="2"/>
      <c r="X43" s="2"/>
      <c r="Y43" s="2"/>
      <c r="Z43" s="2"/>
    </row>
    <row r="44" ht="15.75" customHeight="1">
      <c r="A44" s="1" t="s">
        <v>59</v>
      </c>
      <c r="B44" s="1">
        <v>-16.0</v>
      </c>
      <c r="C44" s="1">
        <v>-100.0</v>
      </c>
      <c r="D44" s="1">
        <v>5.0</v>
      </c>
      <c r="E44" s="1">
        <v>30.0</v>
      </c>
      <c r="F44" s="1">
        <v>25.0</v>
      </c>
      <c r="G44" s="1">
        <v>27.0</v>
      </c>
      <c r="H44" s="1">
        <v>-26.0</v>
      </c>
      <c r="I44" s="1">
        <v>0.0</v>
      </c>
      <c r="J44" s="1">
        <v>0.0</v>
      </c>
      <c r="K44" s="1">
        <v>-2.0</v>
      </c>
      <c r="L44" s="2"/>
      <c r="M44" s="2"/>
      <c r="N44" s="2"/>
      <c r="O44" s="2"/>
      <c r="P44" s="2"/>
      <c r="Q44" s="2"/>
      <c r="R44" s="2"/>
      <c r="S44" s="2"/>
      <c r="T44" s="2"/>
      <c r="U44" s="2"/>
      <c r="V44" s="2"/>
      <c r="W44" s="2"/>
      <c r="X44" s="2"/>
      <c r="Y44" s="2"/>
      <c r="Z44" s="2"/>
    </row>
    <row r="45" ht="15.75" customHeight="1">
      <c r="A45" s="1" t="s">
        <v>60</v>
      </c>
      <c r="B45" s="1">
        <v>-776.0</v>
      </c>
      <c r="C45" s="1">
        <v>-487.0</v>
      </c>
      <c r="D45" s="1">
        <v>-1110.0</v>
      </c>
      <c r="E45" s="1">
        <v>-26.0</v>
      </c>
      <c r="F45" s="1">
        <v>1840.0</v>
      </c>
      <c r="G45" s="1">
        <v>-179.0</v>
      </c>
      <c r="H45" s="1">
        <v>-265.0</v>
      </c>
      <c r="I45" s="1">
        <v>-1090.0</v>
      </c>
      <c r="J45" s="1">
        <v>-818.0</v>
      </c>
      <c r="K45" s="1">
        <v>-404.0</v>
      </c>
      <c r="L45" s="2"/>
      <c r="M45" s="2"/>
      <c r="N45" s="2"/>
      <c r="O45" s="2"/>
      <c r="P45" s="2"/>
      <c r="Q45" s="2"/>
      <c r="R45" s="2"/>
      <c r="S45" s="2"/>
      <c r="T45" s="2"/>
      <c r="U45" s="2"/>
      <c r="V45" s="2"/>
      <c r="W45" s="2"/>
      <c r="X45" s="2"/>
      <c r="Y45" s="2"/>
      <c r="Z45" s="2"/>
    </row>
    <row r="46" ht="15.75" customHeight="1">
      <c r="A46" s="1" t="s">
        <v>61</v>
      </c>
      <c r="B46" s="1">
        <v>-28.0</v>
      </c>
      <c r="C46" s="1">
        <v>-56.0</v>
      </c>
      <c r="D46" s="1">
        <v>-16.0</v>
      </c>
      <c r="E46" s="1">
        <v>2.0</v>
      </c>
      <c r="F46" s="1">
        <v>-35.0</v>
      </c>
      <c r="G46" s="1">
        <v>-1.0</v>
      </c>
      <c r="H46" s="1">
        <v>19.0</v>
      </c>
      <c r="I46" s="1">
        <v>-23.0</v>
      </c>
      <c r="J46" s="1">
        <v>-34.0</v>
      </c>
      <c r="K46" s="1">
        <v>-5.0</v>
      </c>
      <c r="L46" s="2"/>
      <c r="M46" s="2"/>
      <c r="N46" s="2"/>
      <c r="O46" s="2"/>
      <c r="P46" s="2"/>
      <c r="Q46" s="2"/>
      <c r="R46" s="2"/>
      <c r="S46" s="2"/>
      <c r="T46" s="2"/>
      <c r="U46" s="2"/>
      <c r="V46" s="2"/>
      <c r="W46" s="2"/>
      <c r="X46" s="2"/>
      <c r="Y46" s="2"/>
      <c r="Z46" s="2"/>
    </row>
    <row r="47" ht="15.75" customHeight="1">
      <c r="A47" s="1" t="s">
        <v>62</v>
      </c>
      <c r="B47" s="1">
        <v>-51.0</v>
      </c>
      <c r="C47" s="1">
        <v>-5.0</v>
      </c>
      <c r="D47" s="1">
        <v>5.0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63</v>
      </c>
      <c r="B48" s="1">
        <v>-399.0</v>
      </c>
      <c r="C48" s="1">
        <v>-30.0</v>
      </c>
      <c r="D48" s="1">
        <v>-256.0</v>
      </c>
      <c r="E48" s="1">
        <v>-35.0</v>
      </c>
      <c r="F48" s="1">
        <v>257.0</v>
      </c>
      <c r="G48" s="1">
        <v>613.0</v>
      </c>
      <c r="H48" s="1">
        <v>362.0</v>
      </c>
      <c r="I48" s="1">
        <v>-174.0</v>
      </c>
      <c r="J48" s="1">
        <v>-518.0</v>
      </c>
      <c r="K48" s="1">
        <v>90.0</v>
      </c>
      <c r="L48" s="2"/>
      <c r="M48" s="2"/>
      <c r="N48" s="2"/>
      <c r="O48" s="2"/>
      <c r="P48" s="2"/>
      <c r="Q48" s="2"/>
      <c r="R48" s="2"/>
      <c r="S48" s="2"/>
      <c r="T48" s="2"/>
      <c r="U48" s="2"/>
      <c r="V48" s="2"/>
      <c r="W48" s="2"/>
      <c r="X48" s="2"/>
      <c r="Y48" s="2"/>
      <c r="Z48" s="2"/>
    </row>
    <row r="49" ht="15.75" customHeight="1">
      <c r="A49" s="1" t="s">
        <v>64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65</v>
      </c>
      <c r="B50" s="1">
        <v>68.0</v>
      </c>
      <c r="C50" s="1">
        <v>54.0</v>
      </c>
      <c r="D50" s="1">
        <v>56.0</v>
      </c>
      <c r="E50" s="1">
        <v>48.0</v>
      </c>
      <c r="F50" s="1">
        <v>79.0</v>
      </c>
      <c r="G50" s="1">
        <v>103.0</v>
      </c>
      <c r="H50" s="1">
        <v>104.0</v>
      </c>
      <c r="I50" s="1">
        <v>110.0</v>
      </c>
      <c r="J50" s="1">
        <v>109.0</v>
      </c>
      <c r="K50" s="1">
        <v>107.0</v>
      </c>
      <c r="L50" s="2"/>
      <c r="M50" s="2"/>
      <c r="N50" s="2"/>
      <c r="O50" s="2"/>
      <c r="P50" s="2"/>
      <c r="Q50" s="2"/>
      <c r="R50" s="2"/>
      <c r="S50" s="2"/>
      <c r="T50" s="2"/>
      <c r="U50" s="2"/>
      <c r="V50" s="2"/>
      <c r="W50" s="2"/>
      <c r="X50" s="2"/>
      <c r="Y50" s="2"/>
      <c r="Z50" s="2"/>
    </row>
    <row r="51" ht="15.75" customHeight="1">
      <c r="A51" s="1" t="s">
        <v>66</v>
      </c>
      <c r="B51" s="1">
        <v>248.0</v>
      </c>
      <c r="C51" s="1">
        <v>80.0</v>
      </c>
      <c r="D51" s="1">
        <v>226.0</v>
      </c>
      <c r="E51" s="1">
        <v>18.0</v>
      </c>
      <c r="F51" s="1">
        <v>93.0</v>
      </c>
      <c r="G51" s="1">
        <v>93.0</v>
      </c>
      <c r="H51" s="1">
        <v>98.0</v>
      </c>
      <c r="I51" s="1">
        <v>221.0</v>
      </c>
      <c r="J51" s="1">
        <v>128.0</v>
      </c>
      <c r="K51" s="1">
        <v>235.0</v>
      </c>
      <c r="L51" s="2"/>
      <c r="M51" s="2"/>
      <c r="N51" s="2"/>
      <c r="O51" s="2"/>
      <c r="P51" s="2"/>
      <c r="Q51" s="2"/>
      <c r="R51" s="2"/>
      <c r="S51" s="2"/>
      <c r="T51" s="2"/>
      <c r="U51" s="2"/>
      <c r="V51" s="2"/>
      <c r="W51" s="2"/>
      <c r="X51" s="2"/>
      <c r="Y51" s="2"/>
      <c r="Z51" s="2"/>
    </row>
    <row r="52" ht="15.75" customHeight="1">
      <c r="A52" s="1" t="s">
        <v>67</v>
      </c>
      <c r="B52" s="1">
        <v>-467.0</v>
      </c>
      <c r="C52" s="1">
        <v>0.0</v>
      </c>
      <c r="D52" s="1">
        <v>-123.0</v>
      </c>
      <c r="E52" s="1">
        <v>451.0</v>
      </c>
      <c r="F52" s="1">
        <v>1820.0</v>
      </c>
      <c r="G52" s="1">
        <v>236.0</v>
      </c>
      <c r="H52" s="1">
        <v>242.0</v>
      </c>
      <c r="I52" s="1">
        <v>-72.0</v>
      </c>
      <c r="J52" s="1">
        <v>-75.0</v>
      </c>
      <c r="K52" s="1">
        <v>-51.0</v>
      </c>
      <c r="L52" s="2"/>
      <c r="M52" s="2"/>
      <c r="N52" s="2"/>
      <c r="O52" s="2"/>
      <c r="P52" s="2"/>
      <c r="Q52" s="2"/>
      <c r="R52" s="2"/>
      <c r="S52" s="2"/>
      <c r="T52" s="2"/>
      <c r="U52" s="2"/>
      <c r="V52" s="2"/>
      <c r="W52" s="2"/>
      <c r="X52" s="2"/>
      <c r="Y52" s="2"/>
      <c r="Z52" s="2"/>
    </row>
    <row r="53" ht="15.75" customHeight="1">
      <c r="A53" s="1" t="s">
        <v>68</v>
      </c>
      <c r="B53" s="1">
        <v>-23.0</v>
      </c>
      <c r="C53" s="1">
        <v>-640.0</v>
      </c>
      <c r="D53" s="1">
        <v>-1150.0</v>
      </c>
      <c r="E53" s="1">
        <v>540.0</v>
      </c>
      <c r="F53" s="1">
        <v>8560.0</v>
      </c>
      <c r="G53" s="1">
        <v>1490.0</v>
      </c>
      <c r="H53" s="1">
        <v>1310.0</v>
      </c>
      <c r="I53" s="1">
        <v>3410.0</v>
      </c>
      <c r="J53" s="1">
        <v>710.0</v>
      </c>
      <c r="K53" s="1">
        <v>1000.0</v>
      </c>
      <c r="L53" s="2"/>
      <c r="M53" s="2"/>
      <c r="N53" s="2"/>
      <c r="O53" s="2"/>
      <c r="P53" s="2"/>
      <c r="Q53" s="2"/>
      <c r="R53" s="2"/>
      <c r="S53" s="2"/>
      <c r="T53" s="2"/>
      <c r="U53" s="2"/>
      <c r="V53" s="2"/>
      <c r="W53" s="2"/>
      <c r="X53" s="2"/>
      <c r="Y53" s="2"/>
      <c r="Z53" s="2"/>
    </row>
    <row r="54" ht="15.75" customHeight="1">
      <c r="A54" s="1" t="s">
        <v>69</v>
      </c>
      <c r="B54" s="1">
        <v>12.0</v>
      </c>
      <c r="C54" s="1">
        <v>-606.0</v>
      </c>
      <c r="D54" s="1">
        <v>-1120.0</v>
      </c>
      <c r="E54" s="1">
        <v>571.0</v>
      </c>
      <c r="F54" s="1">
        <v>8630.0</v>
      </c>
      <c r="G54" s="1">
        <v>1560.0</v>
      </c>
      <c r="H54" s="1">
        <v>1380.0</v>
      </c>
      <c r="I54" s="1">
        <v>3480.0</v>
      </c>
      <c r="J54" s="1">
        <v>778.0</v>
      </c>
      <c r="K54" s="1">
        <v>1070.0</v>
      </c>
      <c r="L54" s="2"/>
      <c r="M54" s="2"/>
      <c r="N54" s="2"/>
      <c r="O54" s="2"/>
      <c r="P54" s="2"/>
      <c r="Q54" s="2"/>
      <c r="R54" s="2"/>
      <c r="S54" s="2"/>
      <c r="T54" s="2"/>
      <c r="U54" s="2"/>
      <c r="V54" s="2"/>
      <c r="W54" s="2"/>
      <c r="X54" s="2"/>
      <c r="Y54" s="2"/>
      <c r="Z54" s="2"/>
    </row>
    <row r="55" ht="15.75" customHeight="1">
      <c r="A55" s="1" t="s">
        <v>70</v>
      </c>
      <c r="B55" s="1">
        <v>587.0</v>
      </c>
      <c r="C55" s="1">
        <v>827.0</v>
      </c>
      <c r="D55" s="1">
        <v>1770.0</v>
      </c>
      <c r="E55" s="1">
        <v>-173.0</v>
      </c>
      <c r="F55" s="1">
        <v>-8200.0</v>
      </c>
      <c r="G55" s="1">
        <v>-1030.0</v>
      </c>
      <c r="H55" s="1">
        <v>-811.0</v>
      </c>
      <c r="I55" s="1">
        <v>-2860.0</v>
      </c>
      <c r="J55" s="1">
        <v>-394.0</v>
      </c>
      <c r="K55" s="1">
        <v>-407.0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11260.0</v>
      </c>
      <c r="C3" s="1">
        <v>10220.0</v>
      </c>
      <c r="D3" s="1">
        <v>9570.0</v>
      </c>
      <c r="E3" s="1">
        <v>9660.0</v>
      </c>
      <c r="F3" s="1">
        <v>11260.0</v>
      </c>
      <c r="G3" s="1">
        <v>12320.0</v>
      </c>
      <c r="H3" s="1">
        <v>13450.0</v>
      </c>
      <c r="I3" s="1">
        <v>7220.0</v>
      </c>
      <c r="J3" s="1">
        <v>6280.0</v>
      </c>
      <c r="K3" s="1">
        <v>6910.0</v>
      </c>
      <c r="L3" s="2"/>
      <c r="M3" s="2"/>
      <c r="N3" s="2"/>
      <c r="O3" s="2"/>
      <c r="P3" s="2"/>
      <c r="Q3" s="2"/>
      <c r="R3" s="2"/>
      <c r="S3" s="2"/>
      <c r="T3" s="2"/>
      <c r="U3" s="2"/>
      <c r="V3" s="2"/>
      <c r="W3" s="2"/>
      <c r="X3" s="2"/>
      <c r="Y3" s="2"/>
      <c r="Z3" s="2"/>
    </row>
    <row r="4">
      <c r="A4" s="1" t="s">
        <v>73</v>
      </c>
      <c r="B4" s="1">
        <v>499.0</v>
      </c>
      <c r="C4" s="1">
        <v>500.0</v>
      </c>
      <c r="D4" s="1">
        <v>421.0</v>
      </c>
      <c r="E4" s="1">
        <v>368.0</v>
      </c>
      <c r="F4" s="1">
        <v>463.0</v>
      </c>
      <c r="G4" s="1">
        <v>479.0</v>
      </c>
      <c r="H4" s="1">
        <v>503.0</v>
      </c>
      <c r="I4" s="1">
        <v>549.0</v>
      </c>
      <c r="J4" s="1">
        <v>409.0</v>
      </c>
      <c r="K4" s="1">
        <v>343.0</v>
      </c>
      <c r="L4" s="2"/>
      <c r="M4" s="2"/>
      <c r="N4" s="2"/>
      <c r="O4" s="2"/>
      <c r="P4" s="2"/>
      <c r="Q4" s="2"/>
      <c r="R4" s="2"/>
      <c r="S4" s="2"/>
      <c r="T4" s="2"/>
      <c r="U4" s="2"/>
      <c r="V4" s="2"/>
      <c r="W4" s="2"/>
      <c r="X4" s="2"/>
      <c r="Y4" s="2"/>
      <c r="Z4" s="2"/>
    </row>
    <row r="5">
      <c r="A5" s="1" t="s">
        <v>74</v>
      </c>
      <c r="B5" s="1">
        <v>1270.0</v>
      </c>
      <c r="C5" s="1">
        <v>1150.0</v>
      </c>
      <c r="D5" s="1">
        <v>624.0</v>
      </c>
      <c r="E5" s="1">
        <v>670.0</v>
      </c>
      <c r="F5" s="1">
        <v>760.0</v>
      </c>
      <c r="G5" s="1">
        <v>815.0</v>
      </c>
      <c r="H5" s="1">
        <v>754.0</v>
      </c>
      <c r="I5" s="1">
        <v>256.0</v>
      </c>
      <c r="J5" s="1">
        <v>296.0</v>
      </c>
      <c r="K5" s="1">
        <v>329.0</v>
      </c>
      <c r="L5" s="2"/>
      <c r="M5" s="2"/>
      <c r="N5" s="2"/>
      <c r="O5" s="2"/>
      <c r="P5" s="2"/>
      <c r="Q5" s="2"/>
      <c r="R5" s="2"/>
      <c r="S5" s="2"/>
      <c r="T5" s="2"/>
      <c r="U5" s="2"/>
      <c r="V5" s="2"/>
      <c r="W5" s="2"/>
      <c r="X5" s="2"/>
      <c r="Y5" s="2"/>
      <c r="Z5" s="2"/>
    </row>
    <row r="6">
      <c r="A6" s="1" t="s">
        <v>75</v>
      </c>
      <c r="B6" s="1">
        <v>48.0</v>
      </c>
      <c r="C6" s="1">
        <v>43.0</v>
      </c>
      <c r="D6" s="1">
        <v>38.0</v>
      </c>
      <c r="E6" s="1">
        <v>0.0</v>
      </c>
      <c r="F6" s="1">
        <v>0.0</v>
      </c>
      <c r="G6" s="1">
        <v>0.0</v>
      </c>
      <c r="H6" s="1">
        <v>0.0</v>
      </c>
      <c r="I6" s="1">
        <v>0.0</v>
      </c>
      <c r="J6" s="1">
        <v>0.0</v>
      </c>
      <c r="K6" s="1">
        <v>0.0</v>
      </c>
      <c r="L6" s="2"/>
      <c r="M6" s="2"/>
      <c r="N6" s="2"/>
      <c r="O6" s="2"/>
      <c r="P6" s="2"/>
      <c r="Q6" s="2"/>
      <c r="R6" s="2"/>
      <c r="S6" s="2"/>
      <c r="T6" s="2"/>
      <c r="U6" s="2"/>
      <c r="V6" s="2"/>
      <c r="W6" s="2"/>
      <c r="X6" s="2"/>
      <c r="Y6" s="2"/>
      <c r="Z6" s="2"/>
    </row>
    <row r="7">
      <c r="A7" s="1" t="s">
        <v>76</v>
      </c>
      <c r="B7" s="1">
        <v>952.0</v>
      </c>
      <c r="C7" s="1">
        <v>1080.0</v>
      </c>
      <c r="D7" s="1">
        <v>823.0</v>
      </c>
      <c r="E7" s="1">
        <v>1510.0</v>
      </c>
      <c r="F7" s="1">
        <v>2500.0</v>
      </c>
      <c r="G7" s="1">
        <v>2910.0</v>
      </c>
      <c r="H7" s="1">
        <v>973.0</v>
      </c>
      <c r="I7" s="1">
        <v>650.0</v>
      </c>
      <c r="J7" s="1">
        <v>536.0</v>
      </c>
      <c r="K7" s="1">
        <v>637.0</v>
      </c>
      <c r="L7" s="2"/>
      <c r="M7" s="2"/>
      <c r="N7" s="2"/>
      <c r="O7" s="2"/>
      <c r="P7" s="2"/>
      <c r="Q7" s="2"/>
      <c r="R7" s="2"/>
      <c r="S7" s="2"/>
      <c r="T7" s="2"/>
      <c r="U7" s="2"/>
      <c r="V7" s="2"/>
      <c r="W7" s="2"/>
      <c r="X7" s="2"/>
      <c r="Y7" s="2"/>
      <c r="Z7" s="2"/>
    </row>
    <row r="8">
      <c r="A8" s="1" t="s">
        <v>77</v>
      </c>
      <c r="B8" s="1">
        <v>14040.0</v>
      </c>
      <c r="C8" s="1">
        <v>12990.0</v>
      </c>
      <c r="D8" s="1">
        <v>11480.0</v>
      </c>
      <c r="E8" s="1">
        <v>12210.0</v>
      </c>
      <c r="F8" s="1">
        <v>14980.0</v>
      </c>
      <c r="G8" s="1">
        <v>16530.0</v>
      </c>
      <c r="H8" s="1">
        <v>15680.0</v>
      </c>
      <c r="I8" s="1">
        <v>8670.0</v>
      </c>
      <c r="J8" s="1">
        <v>7520.0</v>
      </c>
      <c r="K8" s="1">
        <v>8220.0</v>
      </c>
      <c r="L8" s="2"/>
      <c r="M8" s="2"/>
      <c r="N8" s="2"/>
      <c r="O8" s="2"/>
      <c r="P8" s="2"/>
      <c r="Q8" s="2"/>
      <c r="R8" s="2"/>
      <c r="S8" s="2"/>
      <c r="T8" s="2"/>
      <c r="U8" s="2"/>
      <c r="V8" s="2"/>
      <c r="W8" s="2"/>
      <c r="X8" s="2"/>
      <c r="Y8" s="2"/>
      <c r="Z8" s="2"/>
    </row>
    <row r="9">
      <c r="A9" s="1" t="s">
        <v>78</v>
      </c>
      <c r="B9" s="1">
        <v>1320.0</v>
      </c>
      <c r="C9" s="1">
        <v>1290.0</v>
      </c>
      <c r="D9" s="1">
        <v>1030.0</v>
      </c>
      <c r="E9" s="1">
        <v>1070.0</v>
      </c>
      <c r="F9" s="1">
        <v>1320.0</v>
      </c>
      <c r="G9" s="1">
        <v>1900.0</v>
      </c>
      <c r="H9" s="1">
        <v>2230.0</v>
      </c>
      <c r="I9" s="1">
        <v>2040.0</v>
      </c>
      <c r="J9" s="1">
        <v>1540.0</v>
      </c>
      <c r="K9" s="1">
        <v>1630.0</v>
      </c>
      <c r="L9" s="2"/>
      <c r="M9" s="2"/>
      <c r="N9" s="2"/>
      <c r="O9" s="2"/>
      <c r="P9" s="2"/>
      <c r="Q9" s="2"/>
      <c r="R9" s="2"/>
      <c r="S9" s="2"/>
      <c r="T9" s="2"/>
      <c r="U9" s="2"/>
      <c r="V9" s="2"/>
      <c r="W9" s="2"/>
      <c r="X9" s="2"/>
      <c r="Y9" s="2"/>
      <c r="Z9" s="2"/>
    </row>
    <row r="10">
      <c r="A10" s="1" t="s">
        <v>79</v>
      </c>
      <c r="B10" s="1">
        <v>7250.0</v>
      </c>
      <c r="C10" s="1">
        <v>7470.0</v>
      </c>
      <c r="D10" s="1">
        <v>9080.0</v>
      </c>
      <c r="E10" s="1">
        <v>9790.0</v>
      </c>
      <c r="F10" s="1">
        <v>9170.0</v>
      </c>
      <c r="G10" s="1">
        <v>9590.0</v>
      </c>
      <c r="H10" s="1">
        <v>9840.0</v>
      </c>
      <c r="I10" s="1">
        <v>6180.0</v>
      </c>
      <c r="J10" s="1">
        <v>7010.0</v>
      </c>
      <c r="K10" s="1">
        <v>6650.0</v>
      </c>
      <c r="L10" s="2"/>
      <c r="M10" s="2"/>
      <c r="N10" s="2"/>
      <c r="O10" s="2"/>
      <c r="P10" s="2"/>
      <c r="Q10" s="2"/>
      <c r="R10" s="2"/>
      <c r="S10" s="2"/>
      <c r="T10" s="2"/>
      <c r="U10" s="2"/>
      <c r="V10" s="2"/>
      <c r="W10" s="2"/>
      <c r="X10" s="2"/>
      <c r="Y10" s="2"/>
      <c r="Z10" s="2"/>
    </row>
    <row r="11">
      <c r="A11" s="1" t="s">
        <v>80</v>
      </c>
      <c r="B11" s="1">
        <v>1600.0</v>
      </c>
      <c r="C11" s="1">
        <v>1410.0</v>
      </c>
      <c r="D11" s="1">
        <v>1350.0</v>
      </c>
      <c r="E11" s="1">
        <v>1490.0</v>
      </c>
      <c r="F11" s="1">
        <v>1850.0</v>
      </c>
      <c r="G11" s="1">
        <v>1850.0</v>
      </c>
      <c r="H11" s="1">
        <v>1690.0</v>
      </c>
      <c r="I11" s="1">
        <v>2000.0</v>
      </c>
      <c r="J11" s="1">
        <v>2490.0</v>
      </c>
      <c r="K11" s="1">
        <v>2360.0</v>
      </c>
      <c r="L11" s="2"/>
      <c r="M11" s="2"/>
      <c r="N11" s="2"/>
      <c r="O11" s="2"/>
      <c r="P11" s="2"/>
      <c r="Q11" s="2"/>
      <c r="R11" s="2"/>
      <c r="S11" s="2"/>
      <c r="T11" s="2"/>
      <c r="U11" s="2"/>
      <c r="V11" s="2"/>
      <c r="W11" s="2"/>
      <c r="X11" s="2"/>
      <c r="Y11" s="2"/>
      <c r="Z11" s="2"/>
    </row>
    <row r="12">
      <c r="A12" s="1" t="s">
        <v>81</v>
      </c>
      <c r="B12" s="1">
        <v>2960.0</v>
      </c>
      <c r="C12" s="1">
        <v>3150.0</v>
      </c>
      <c r="D12" s="1">
        <v>3270.0</v>
      </c>
      <c r="E12" s="1">
        <v>3480.0</v>
      </c>
      <c r="F12" s="1">
        <v>5100.0</v>
      </c>
      <c r="G12" s="1">
        <v>6670.0</v>
      </c>
      <c r="H12" s="1">
        <v>7570.0</v>
      </c>
      <c r="I12" s="1">
        <v>8810.0</v>
      </c>
      <c r="J12" s="1">
        <v>9680.0</v>
      </c>
      <c r="K12" s="1">
        <v>9970.0</v>
      </c>
      <c r="L12" s="2"/>
      <c r="M12" s="2"/>
      <c r="N12" s="2"/>
      <c r="O12" s="2"/>
      <c r="P12" s="2"/>
      <c r="Q12" s="2"/>
      <c r="R12" s="2"/>
      <c r="S12" s="2"/>
      <c r="T12" s="2"/>
      <c r="U12" s="2"/>
      <c r="V12" s="2"/>
      <c r="W12" s="2"/>
      <c r="X12" s="2"/>
      <c r="Y12" s="2"/>
      <c r="Z12" s="2"/>
    </row>
    <row r="13">
      <c r="A13" s="1" t="s">
        <v>82</v>
      </c>
      <c r="B13" s="1">
        <v>1910.0</v>
      </c>
      <c r="C13" s="1">
        <v>1800.0</v>
      </c>
      <c r="D13" s="1">
        <v>1690.0</v>
      </c>
      <c r="E13" s="1">
        <v>1840.0</v>
      </c>
      <c r="F13" s="1">
        <v>1610.0</v>
      </c>
      <c r="G13" s="1">
        <v>1840.0</v>
      </c>
      <c r="H13" s="1">
        <v>2190.0</v>
      </c>
      <c r="I13" s="1">
        <v>11.0</v>
      </c>
      <c r="J13" s="1">
        <v>0.0</v>
      </c>
      <c r="K13" s="1">
        <v>0.0</v>
      </c>
      <c r="L13" s="2"/>
      <c r="M13" s="2"/>
      <c r="N13" s="2"/>
      <c r="O13" s="2"/>
      <c r="P13" s="2"/>
      <c r="Q13" s="2"/>
      <c r="R13" s="2"/>
      <c r="S13" s="2"/>
      <c r="T13" s="2"/>
      <c r="U13" s="2"/>
      <c r="V13" s="2"/>
      <c r="W13" s="2"/>
      <c r="X13" s="2"/>
      <c r="Y13" s="2"/>
      <c r="Z13" s="2"/>
    </row>
    <row r="14">
      <c r="A14" s="1" t="s">
        <v>83</v>
      </c>
      <c r="B14" s="1">
        <v>792.0</v>
      </c>
      <c r="C14" s="1">
        <v>756.0</v>
      </c>
      <c r="D14" s="1">
        <v>678.0</v>
      </c>
      <c r="E14" s="1">
        <v>696.0</v>
      </c>
      <c r="F14" s="1">
        <v>766.0</v>
      </c>
      <c r="G14" s="1">
        <v>832.0</v>
      </c>
      <c r="H14" s="1">
        <v>908.0</v>
      </c>
      <c r="I14" s="1">
        <v>965.0</v>
      </c>
      <c r="J14" s="1">
        <v>1080.0</v>
      </c>
      <c r="K14" s="1">
        <v>1100.0</v>
      </c>
      <c r="L14" s="2"/>
      <c r="M14" s="2"/>
      <c r="N14" s="2"/>
      <c r="O14" s="2"/>
      <c r="P14" s="2"/>
      <c r="Q14" s="2"/>
      <c r="R14" s="2"/>
      <c r="S14" s="2"/>
      <c r="T14" s="2"/>
      <c r="U14" s="2"/>
      <c r="V14" s="2"/>
      <c r="W14" s="2"/>
      <c r="X14" s="2"/>
      <c r="Y14" s="2"/>
      <c r="Z14" s="2"/>
    </row>
    <row r="15">
      <c r="A15" s="1" t="s">
        <v>84</v>
      </c>
      <c r="B15" s="1">
        <v>-515.0</v>
      </c>
      <c r="C15" s="1">
        <v>-458.0</v>
      </c>
      <c r="D15" s="1">
        <v>-334.0</v>
      </c>
      <c r="E15" s="1">
        <v>-349.0</v>
      </c>
      <c r="F15" s="1">
        <v>-374.0</v>
      </c>
      <c r="G15" s="1">
        <v>-328.0</v>
      </c>
      <c r="H15" s="1">
        <v>-348.0</v>
      </c>
      <c r="I15" s="1">
        <v>-356.0</v>
      </c>
      <c r="J15" s="1">
        <v>-407.0</v>
      </c>
      <c r="K15" s="1">
        <v>-393.0</v>
      </c>
      <c r="L15" s="2"/>
      <c r="M15" s="2"/>
      <c r="N15" s="2"/>
      <c r="O15" s="2"/>
      <c r="P15" s="2"/>
      <c r="Q15" s="2"/>
      <c r="R15" s="2"/>
      <c r="S15" s="2"/>
      <c r="T15" s="2"/>
      <c r="U15" s="2"/>
      <c r="V15" s="2"/>
      <c r="W15" s="2"/>
      <c r="X15" s="2"/>
      <c r="Y15" s="2"/>
      <c r="Z15" s="2"/>
    </row>
    <row r="16">
      <c r="A16" s="1" t="s">
        <v>85</v>
      </c>
      <c r="B16" s="1">
        <v>278.0</v>
      </c>
      <c r="C16" s="1">
        <v>298.0</v>
      </c>
      <c r="D16" s="1">
        <v>344.0</v>
      </c>
      <c r="E16" s="1">
        <v>348.0</v>
      </c>
      <c r="F16" s="1">
        <v>392.0</v>
      </c>
      <c r="G16" s="1">
        <v>503.0</v>
      </c>
      <c r="H16" s="1">
        <v>560.0</v>
      </c>
      <c r="I16" s="1">
        <v>609.0</v>
      </c>
      <c r="J16" s="1">
        <v>675.0</v>
      </c>
      <c r="K16" s="1">
        <v>709.0</v>
      </c>
      <c r="L16" s="2"/>
      <c r="M16" s="2"/>
      <c r="N16" s="2"/>
      <c r="O16" s="2"/>
      <c r="P16" s="2"/>
      <c r="Q16" s="2"/>
      <c r="R16" s="2"/>
      <c r="S16" s="2"/>
      <c r="T16" s="2"/>
      <c r="U16" s="2"/>
      <c r="V16" s="2"/>
      <c r="W16" s="2"/>
      <c r="X16" s="2"/>
      <c r="Y16" s="2"/>
      <c r="Z16" s="2"/>
    </row>
    <row r="17">
      <c r="A17" s="1" t="s">
        <v>86</v>
      </c>
      <c r="B17" s="1">
        <v>841.0</v>
      </c>
      <c r="C17" s="1">
        <v>834.0</v>
      </c>
      <c r="D17" s="1">
        <v>831.0</v>
      </c>
      <c r="E17" s="1">
        <v>918.0</v>
      </c>
      <c r="F17" s="1">
        <v>2320.0</v>
      </c>
      <c r="G17" s="1">
        <v>2340.0</v>
      </c>
      <c r="H17" s="1">
        <v>2590.0</v>
      </c>
      <c r="I17" s="1">
        <v>2570.0</v>
      </c>
      <c r="J17" s="1">
        <v>2600.0</v>
      </c>
      <c r="K17" s="1">
        <v>2610.0</v>
      </c>
      <c r="L17" s="2"/>
      <c r="M17" s="2"/>
      <c r="N17" s="2"/>
      <c r="O17" s="2"/>
      <c r="P17" s="2"/>
      <c r="Q17" s="2"/>
      <c r="R17" s="2"/>
      <c r="S17" s="2"/>
      <c r="T17" s="2"/>
      <c r="U17" s="2"/>
      <c r="V17" s="2"/>
      <c r="W17" s="2"/>
      <c r="X17" s="2"/>
      <c r="Y17" s="2"/>
      <c r="Z17" s="2"/>
    </row>
    <row r="18">
      <c r="A18" s="1" t="s">
        <v>87</v>
      </c>
      <c r="B18" s="1">
        <v>382.0</v>
      </c>
      <c r="C18" s="1">
        <v>277.0</v>
      </c>
      <c r="D18" s="1">
        <v>240.0</v>
      </c>
      <c r="E18" s="1">
        <v>289.0</v>
      </c>
      <c r="F18" s="1">
        <v>622.0</v>
      </c>
      <c r="G18" s="1">
        <v>540.0</v>
      </c>
      <c r="H18" s="1">
        <v>696.0</v>
      </c>
      <c r="I18" s="1">
        <v>719.0</v>
      </c>
      <c r="J18" s="1">
        <v>639.0</v>
      </c>
      <c r="K18" s="1">
        <v>567.0</v>
      </c>
      <c r="L18" s="2"/>
      <c r="M18" s="2"/>
      <c r="N18" s="2"/>
      <c r="O18" s="2"/>
      <c r="P18" s="2"/>
      <c r="Q18" s="2"/>
      <c r="R18" s="2"/>
      <c r="S18" s="2"/>
      <c r="T18" s="2"/>
      <c r="U18" s="2"/>
      <c r="V18" s="2"/>
      <c r="W18" s="2"/>
      <c r="X18" s="2"/>
      <c r="Y18" s="2"/>
      <c r="Z18" s="2"/>
    </row>
    <row r="19">
      <c r="A19" s="1" t="s">
        <v>88</v>
      </c>
      <c r="B19" s="1">
        <v>80.0</v>
      </c>
      <c r="C19" s="1">
        <v>0.0</v>
      </c>
      <c r="D19" s="1">
        <v>0.0</v>
      </c>
      <c r="E19" s="1">
        <v>0.0</v>
      </c>
      <c r="F19" s="1">
        <v>0.0</v>
      </c>
      <c r="G19" s="1">
        <v>0.0</v>
      </c>
      <c r="H19" s="1">
        <v>0.0</v>
      </c>
      <c r="I19" s="1">
        <v>1080.0</v>
      </c>
      <c r="J19" s="1">
        <v>0.0</v>
      </c>
      <c r="K19" s="1">
        <v>0.0</v>
      </c>
      <c r="L19" s="2"/>
      <c r="M19" s="2"/>
      <c r="N19" s="2"/>
      <c r="O19" s="2"/>
      <c r="P19" s="2"/>
      <c r="Q19" s="2"/>
      <c r="R19" s="2"/>
      <c r="S19" s="2"/>
      <c r="T19" s="2"/>
      <c r="U19" s="2"/>
      <c r="V19" s="2"/>
      <c r="W19" s="2"/>
      <c r="X19" s="2"/>
      <c r="Y19" s="2"/>
      <c r="Z19" s="2"/>
    </row>
    <row r="20">
      <c r="A20" s="1" t="s">
        <v>89</v>
      </c>
      <c r="B20" s="1">
        <v>988.0</v>
      </c>
      <c r="C20" s="1">
        <v>517.0</v>
      </c>
      <c r="D20" s="1">
        <v>392.0</v>
      </c>
      <c r="E20" s="1">
        <v>412.0</v>
      </c>
      <c r="F20" s="1">
        <v>3730.0</v>
      </c>
      <c r="G20" s="1">
        <v>2520.0</v>
      </c>
      <c r="H20" s="1">
        <v>1610.0</v>
      </c>
      <c r="I20" s="1">
        <v>1220.0</v>
      </c>
      <c r="J20" s="1">
        <v>972.0</v>
      </c>
      <c r="K20" s="1">
        <v>923.0</v>
      </c>
      <c r="L20" s="2"/>
      <c r="M20" s="2"/>
      <c r="N20" s="2"/>
      <c r="O20" s="2"/>
      <c r="P20" s="2"/>
      <c r="Q20" s="2"/>
      <c r="R20" s="2"/>
      <c r="S20" s="2"/>
      <c r="T20" s="2"/>
      <c r="U20" s="2"/>
      <c r="V20" s="2"/>
      <c r="W20" s="2"/>
      <c r="X20" s="2"/>
      <c r="Y20" s="2"/>
      <c r="Z20" s="2"/>
    </row>
    <row r="21" ht="15.75" customHeight="1">
      <c r="A21" s="1" t="s">
        <v>90</v>
      </c>
      <c r="B21" s="1">
        <v>31560.0</v>
      </c>
      <c r="C21" s="1">
        <v>30040.0</v>
      </c>
      <c r="D21" s="1">
        <v>29710.0</v>
      </c>
      <c r="E21" s="1">
        <v>31840.0</v>
      </c>
      <c r="F21" s="1">
        <v>41090.0</v>
      </c>
      <c r="G21" s="1">
        <v>44290.0</v>
      </c>
      <c r="H21" s="1">
        <v>44650.0</v>
      </c>
      <c r="I21" s="1">
        <v>33910.0</v>
      </c>
      <c r="J21" s="1">
        <v>33120.0</v>
      </c>
      <c r="K21" s="1">
        <v>33640.0</v>
      </c>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2350.0</v>
      </c>
      <c r="C23" s="1">
        <v>2029.0</v>
      </c>
      <c r="D23" s="1">
        <v>1960.0</v>
      </c>
      <c r="E23" s="1">
        <v>2040.0</v>
      </c>
      <c r="F23" s="1">
        <v>2180.0</v>
      </c>
      <c r="G23" s="1">
        <v>2550.0</v>
      </c>
      <c r="H23" s="1">
        <v>2510.0</v>
      </c>
      <c r="I23" s="1">
        <v>2760.0</v>
      </c>
      <c r="J23" s="1">
        <v>2500.0</v>
      </c>
      <c r="K23" s="1">
        <v>2570.0</v>
      </c>
      <c r="L23" s="2"/>
      <c r="M23" s="2"/>
      <c r="N23" s="2"/>
      <c r="O23" s="2"/>
      <c r="P23" s="2"/>
      <c r="Q23" s="2"/>
      <c r="R23" s="2"/>
      <c r="S23" s="2"/>
      <c r="T23" s="2"/>
      <c r="U23" s="2"/>
      <c r="V23" s="2"/>
      <c r="W23" s="2"/>
      <c r="X23" s="2"/>
      <c r="Y23" s="2"/>
      <c r="Z23" s="2"/>
    </row>
    <row r="24" ht="15.75" customHeight="1">
      <c r="A24" s="1" t="s">
        <v>93</v>
      </c>
      <c r="B24" s="1">
        <v>487.0</v>
      </c>
      <c r="C24" s="1">
        <v>393.0</v>
      </c>
      <c r="D24" s="1">
        <v>386.0</v>
      </c>
      <c r="E24" s="1">
        <v>365.0</v>
      </c>
      <c r="F24" s="1">
        <v>339.0</v>
      </c>
      <c r="G24" s="1">
        <v>540.0</v>
      </c>
      <c r="H24" s="1">
        <v>708.0</v>
      </c>
      <c r="I24" s="1">
        <v>693.0</v>
      </c>
      <c r="J24" s="1">
        <v>648.0</v>
      </c>
      <c r="K24" s="1">
        <v>543.0</v>
      </c>
      <c r="L24" s="2"/>
      <c r="M24" s="2"/>
      <c r="N24" s="2"/>
      <c r="O24" s="2"/>
      <c r="P24" s="2"/>
      <c r="Q24" s="2"/>
      <c r="R24" s="2"/>
      <c r="S24" s="2"/>
      <c r="T24" s="2"/>
      <c r="U24" s="2"/>
      <c r="V24" s="2"/>
      <c r="W24" s="2"/>
      <c r="X24" s="2"/>
      <c r="Y24" s="2"/>
      <c r="Z24" s="2"/>
    </row>
    <row r="25" ht="15.75" customHeight="1">
      <c r="A25" s="1" t="s">
        <v>94</v>
      </c>
      <c r="B25" s="1">
        <v>9480.0</v>
      </c>
      <c r="C25" s="1">
        <v>9470.0</v>
      </c>
      <c r="D25" s="1">
        <v>10110.0</v>
      </c>
      <c r="E25" s="1">
        <v>10400.0</v>
      </c>
      <c r="F25" s="1">
        <v>9240.0</v>
      </c>
      <c r="G25" s="1">
        <v>9810.0</v>
      </c>
      <c r="H25" s="1">
        <v>10060.0</v>
      </c>
      <c r="I25" s="1">
        <v>413.0</v>
      </c>
      <c r="J25" s="1">
        <v>428.0</v>
      </c>
      <c r="K25" s="1">
        <v>487.0</v>
      </c>
      <c r="L25" s="2"/>
      <c r="M25" s="2"/>
      <c r="N25" s="2"/>
      <c r="O25" s="2"/>
      <c r="P25" s="2"/>
      <c r="Q25" s="2"/>
      <c r="R25" s="2"/>
      <c r="S25" s="2"/>
      <c r="T25" s="2"/>
      <c r="U25" s="2"/>
      <c r="V25" s="2"/>
      <c r="W25" s="2"/>
      <c r="X25" s="2"/>
      <c r="Y25" s="2"/>
      <c r="Z25" s="2"/>
    </row>
    <row r="26" ht="15.75" customHeight="1">
      <c r="A26" s="1" t="s">
        <v>95</v>
      </c>
      <c r="B26" s="1">
        <v>3700.0</v>
      </c>
      <c r="C26" s="1">
        <v>3900.0</v>
      </c>
      <c r="D26" s="1">
        <v>3300.0</v>
      </c>
      <c r="E26" s="1">
        <v>3780.0</v>
      </c>
      <c r="F26" s="1">
        <v>2810.0</v>
      </c>
      <c r="G26" s="1">
        <v>2690.0</v>
      </c>
      <c r="H26" s="1">
        <v>2660.0</v>
      </c>
      <c r="I26" s="1">
        <v>1600.0</v>
      </c>
      <c r="J26" s="1">
        <v>2300.0</v>
      </c>
      <c r="K26" s="1">
        <v>1990.0</v>
      </c>
      <c r="L26" s="2"/>
      <c r="M26" s="2"/>
      <c r="N26" s="2"/>
      <c r="O26" s="2"/>
      <c r="P26" s="2"/>
      <c r="Q26" s="2"/>
      <c r="R26" s="2"/>
      <c r="S26" s="2"/>
      <c r="T26" s="2"/>
      <c r="U26" s="2"/>
      <c r="V26" s="2"/>
      <c r="W26" s="2"/>
      <c r="X26" s="2"/>
      <c r="Y26" s="2"/>
      <c r="Z26" s="2"/>
    </row>
    <row r="27" ht="15.75" customHeight="1">
      <c r="A27" s="1" t="s">
        <v>96</v>
      </c>
      <c r="B27" s="1">
        <v>6530.0</v>
      </c>
      <c r="C27" s="1">
        <v>6420.0</v>
      </c>
      <c r="D27" s="1">
        <v>6630.0</v>
      </c>
      <c r="E27" s="1">
        <v>7040.0</v>
      </c>
      <c r="F27" s="1">
        <v>15650.0</v>
      </c>
      <c r="G27" s="1">
        <v>16600.0</v>
      </c>
      <c r="H27" s="1">
        <v>17310.0</v>
      </c>
      <c r="I27" s="1">
        <v>18620.0</v>
      </c>
      <c r="J27" s="1">
        <v>19800.0</v>
      </c>
      <c r="K27" s="1">
        <v>20110.0</v>
      </c>
      <c r="L27" s="2"/>
      <c r="M27" s="2"/>
      <c r="N27" s="2"/>
      <c r="O27" s="2"/>
      <c r="P27" s="2"/>
      <c r="Q27" s="2"/>
      <c r="R27" s="2"/>
      <c r="S27" s="2"/>
      <c r="T27" s="2"/>
      <c r="U27" s="2"/>
      <c r="V27" s="2"/>
      <c r="W27" s="2"/>
      <c r="X27" s="2"/>
      <c r="Y27" s="2"/>
      <c r="Z27" s="2"/>
    </row>
    <row r="28" ht="15.75" customHeight="1">
      <c r="A28" s="1" t="s">
        <v>97</v>
      </c>
      <c r="B28" s="1">
        <v>232.0</v>
      </c>
      <c r="C28" s="1">
        <v>227.0</v>
      </c>
      <c r="D28" s="1">
        <v>207.0</v>
      </c>
      <c r="E28" s="1">
        <v>325.0</v>
      </c>
      <c r="F28" s="1">
        <v>603.0</v>
      </c>
      <c r="G28" s="1">
        <v>678.0</v>
      </c>
      <c r="H28" s="1">
        <v>721.0</v>
      </c>
      <c r="I28" s="1">
        <v>785.0</v>
      </c>
      <c r="J28" s="1">
        <v>859.0</v>
      </c>
      <c r="K28" s="1">
        <v>823.0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0.0</v>
      </c>
      <c r="H29" s="1">
        <v>50.0</v>
      </c>
      <c r="I29" s="1">
        <v>0.0</v>
      </c>
      <c r="J29" s="1">
        <v>225.0</v>
      </c>
      <c r="K29" s="1">
        <v>0.0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20.0</v>
      </c>
      <c r="H30" s="1">
        <v>23.0</v>
      </c>
      <c r="I30" s="1">
        <v>17.0</v>
      </c>
      <c r="J30" s="1">
        <v>15.0</v>
      </c>
      <c r="K30" s="1">
        <v>15.0</v>
      </c>
      <c r="L30" s="2"/>
      <c r="M30" s="2"/>
      <c r="N30" s="2"/>
      <c r="O30" s="2"/>
      <c r="P30" s="2"/>
      <c r="Q30" s="2"/>
      <c r="R30" s="2"/>
      <c r="S30" s="2"/>
      <c r="T30" s="2"/>
      <c r="U30" s="2"/>
      <c r="V30" s="2"/>
      <c r="W30" s="2"/>
      <c r="X30" s="2"/>
      <c r="Y30" s="2"/>
      <c r="Z30" s="2"/>
    </row>
    <row r="31" ht="15.75" customHeight="1">
      <c r="A31" s="1" t="s">
        <v>100</v>
      </c>
      <c r="B31" s="1">
        <v>95.0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101</v>
      </c>
      <c r="B32" s="1">
        <v>1170.0</v>
      </c>
      <c r="C32" s="1">
        <v>1170.0</v>
      </c>
      <c r="D32" s="1">
        <v>1070.0</v>
      </c>
      <c r="E32" s="1">
        <v>1520.0</v>
      </c>
      <c r="F32" s="1">
        <v>3320.0</v>
      </c>
      <c r="G32" s="1">
        <v>3610.0</v>
      </c>
      <c r="H32" s="1">
        <v>2200.0</v>
      </c>
      <c r="I32" s="1">
        <v>2200.0</v>
      </c>
      <c r="J32" s="1">
        <v>1910.0</v>
      </c>
      <c r="K32" s="1">
        <v>2080.0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56.0</v>
      </c>
      <c r="H33" s="1">
        <v>54.0</v>
      </c>
      <c r="I33" s="1">
        <v>43.0</v>
      </c>
      <c r="J33" s="1">
        <v>23.0</v>
      </c>
      <c r="K33" s="1">
        <v>19.0</v>
      </c>
      <c r="L33" s="2"/>
      <c r="M33" s="2"/>
      <c r="N33" s="2"/>
      <c r="O33" s="2"/>
      <c r="P33" s="2"/>
      <c r="Q33" s="2"/>
      <c r="R33" s="2"/>
      <c r="S33" s="2"/>
      <c r="T33" s="2"/>
      <c r="U33" s="2"/>
      <c r="V33" s="2"/>
      <c r="W33" s="2"/>
      <c r="X33" s="2"/>
      <c r="Y33" s="2"/>
      <c r="Z33" s="2"/>
    </row>
    <row r="34" ht="15.75" customHeight="1">
      <c r="A34" s="1" t="s">
        <v>103</v>
      </c>
      <c r="B34" s="1">
        <v>1910.0</v>
      </c>
      <c r="C34" s="1">
        <v>1800.0</v>
      </c>
      <c r="D34" s="1">
        <v>1690.0</v>
      </c>
      <c r="E34" s="1">
        <v>1840.0</v>
      </c>
      <c r="F34" s="1">
        <v>1610.0</v>
      </c>
      <c r="G34" s="1">
        <v>1840.0</v>
      </c>
      <c r="H34" s="1">
        <v>2190.0</v>
      </c>
      <c r="I34" s="1">
        <v>11.0</v>
      </c>
      <c r="J34" s="1">
        <v>0.0</v>
      </c>
      <c r="K34" s="1">
        <v>0.0</v>
      </c>
      <c r="L34" s="2"/>
      <c r="M34" s="2"/>
      <c r="N34" s="2"/>
      <c r="O34" s="2"/>
      <c r="P34" s="2"/>
      <c r="Q34" s="2"/>
      <c r="R34" s="2"/>
      <c r="S34" s="2"/>
      <c r="T34" s="2"/>
      <c r="U34" s="2"/>
      <c r="V34" s="2"/>
      <c r="W34" s="2"/>
      <c r="X34" s="2"/>
      <c r="Y34" s="2"/>
      <c r="Z34" s="2"/>
    </row>
    <row r="35" ht="15.75" customHeight="1">
      <c r="A35" s="1" t="s">
        <v>104</v>
      </c>
      <c r="B35" s="1">
        <v>322.0</v>
      </c>
      <c r="C35" s="1">
        <v>14.0</v>
      </c>
      <c r="D35" s="1">
        <v>0.0</v>
      </c>
      <c r="E35" s="1">
        <v>0.0</v>
      </c>
      <c r="F35" s="1">
        <v>0.0</v>
      </c>
      <c r="G35" s="1">
        <v>0.0</v>
      </c>
      <c r="H35" s="1">
        <v>0.0</v>
      </c>
      <c r="I35" s="1">
        <v>1060.0</v>
      </c>
      <c r="J35" s="1">
        <v>0.0</v>
      </c>
      <c r="K35" s="1">
        <v>0.0</v>
      </c>
      <c r="L35" s="2"/>
      <c r="M35" s="2"/>
      <c r="N35" s="2"/>
      <c r="O35" s="2"/>
      <c r="P35" s="2"/>
      <c r="Q35" s="2"/>
      <c r="R35" s="2"/>
      <c r="S35" s="2"/>
      <c r="T35" s="2"/>
      <c r="U35" s="2"/>
      <c r="V35" s="2"/>
      <c r="W35" s="2"/>
      <c r="X35" s="2"/>
      <c r="Y35" s="2"/>
      <c r="Z35" s="2"/>
    </row>
    <row r="36" ht="15.75" customHeight="1">
      <c r="A36" s="1" t="s">
        <v>105</v>
      </c>
      <c r="B36" s="1">
        <v>101.0</v>
      </c>
      <c r="C36" s="1">
        <v>92.0</v>
      </c>
      <c r="D36" s="1">
        <v>232.0</v>
      </c>
      <c r="E36" s="1">
        <v>128.0</v>
      </c>
      <c r="F36" s="1">
        <v>53.0</v>
      </c>
      <c r="G36" s="1">
        <v>87.0</v>
      </c>
      <c r="H36" s="1">
        <v>185.0</v>
      </c>
      <c r="I36" s="1">
        <v>192.0</v>
      </c>
      <c r="J36" s="1">
        <v>171.0</v>
      </c>
      <c r="K36" s="1">
        <v>155.0</v>
      </c>
      <c r="L36" s="2"/>
      <c r="M36" s="2"/>
      <c r="N36" s="2"/>
      <c r="O36" s="2"/>
      <c r="P36" s="2"/>
      <c r="Q36" s="2"/>
      <c r="R36" s="2"/>
      <c r="S36" s="2"/>
      <c r="T36" s="2"/>
      <c r="U36" s="2"/>
      <c r="V36" s="2"/>
      <c r="W36" s="2"/>
      <c r="X36" s="2"/>
      <c r="Y36" s="2"/>
      <c r="Z36" s="2"/>
    </row>
    <row r="37" ht="15.75" customHeight="1">
      <c r="A37" s="1" t="s">
        <v>106</v>
      </c>
      <c r="B37" s="1">
        <v>0.0</v>
      </c>
      <c r="C37" s="1">
        <v>0.0</v>
      </c>
      <c r="D37" s="1">
        <v>23.0</v>
      </c>
      <c r="E37" s="1">
        <v>129.0</v>
      </c>
      <c r="F37" s="1">
        <v>150.0</v>
      </c>
      <c r="G37" s="1">
        <v>125.0</v>
      </c>
      <c r="H37" s="1">
        <v>17.0</v>
      </c>
      <c r="I37" s="1">
        <v>19.0</v>
      </c>
      <c r="J37" s="1">
        <v>20.0</v>
      </c>
      <c r="K37" s="1">
        <v>27.0</v>
      </c>
      <c r="L37" s="2"/>
      <c r="M37" s="2"/>
      <c r="N37" s="2"/>
      <c r="O37" s="2"/>
      <c r="P37" s="2"/>
      <c r="Q37" s="2"/>
      <c r="R37" s="2"/>
      <c r="S37" s="2"/>
      <c r="T37" s="2"/>
      <c r="U37" s="2"/>
      <c r="V37" s="2"/>
      <c r="W37" s="2"/>
      <c r="X37" s="2"/>
      <c r="Y37" s="2"/>
      <c r="Z37" s="2"/>
    </row>
    <row r="38" ht="15.75" customHeight="1">
      <c r="A38" s="1" t="s">
        <v>107</v>
      </c>
      <c r="B38" s="1">
        <v>26380.0</v>
      </c>
      <c r="C38" s="1">
        <v>25520.0</v>
      </c>
      <c r="D38" s="1">
        <v>25610.0</v>
      </c>
      <c r="E38" s="1">
        <v>27560.0</v>
      </c>
      <c r="F38" s="1">
        <v>35960.0</v>
      </c>
      <c r="G38" s="1">
        <v>38610.0</v>
      </c>
      <c r="H38" s="1">
        <v>38700.0</v>
      </c>
      <c r="I38" s="1">
        <v>28420.0</v>
      </c>
      <c r="J38" s="1">
        <v>28900.0</v>
      </c>
      <c r="K38" s="1">
        <v>28830.0</v>
      </c>
      <c r="L38" s="2"/>
      <c r="M38" s="2"/>
      <c r="N38" s="2"/>
      <c r="O38" s="2"/>
      <c r="P38" s="2"/>
      <c r="Q38" s="2"/>
      <c r="R38" s="2"/>
      <c r="S38" s="2"/>
      <c r="T38" s="2"/>
      <c r="U38" s="2"/>
      <c r="V38" s="2"/>
      <c r="W38" s="2"/>
      <c r="X38" s="2"/>
      <c r="Y38" s="2"/>
      <c r="Z38" s="2"/>
    </row>
    <row r="39" ht="15.75" customHeight="1">
      <c r="A39" s="1" t="s">
        <v>108</v>
      </c>
      <c r="B39" s="1">
        <v>0.0</v>
      </c>
      <c r="C39" s="1">
        <v>0.0</v>
      </c>
      <c r="D39" s="1">
        <v>0.0</v>
      </c>
      <c r="E39" s="1">
        <v>0.0</v>
      </c>
      <c r="F39" s="1">
        <v>2.0</v>
      </c>
      <c r="G39" s="1">
        <v>2.0</v>
      </c>
      <c r="H39" s="1">
        <v>2.0</v>
      </c>
      <c r="I39" s="1">
        <v>0.0</v>
      </c>
      <c r="J39" s="1">
        <v>0.0</v>
      </c>
      <c r="K39" s="1">
        <v>0.0</v>
      </c>
      <c r="L39" s="2"/>
      <c r="M39" s="2"/>
      <c r="N39" s="2"/>
      <c r="O39" s="2"/>
      <c r="P39" s="2"/>
      <c r="Q39" s="2"/>
      <c r="R39" s="2"/>
      <c r="S39" s="2"/>
      <c r="T39" s="2"/>
      <c r="U39" s="2"/>
      <c r="V39" s="2"/>
      <c r="W39" s="2"/>
      <c r="X39" s="2"/>
      <c r="Y39" s="2"/>
      <c r="Z39" s="2"/>
    </row>
    <row r="40" ht="15.75" customHeight="1">
      <c r="A40" s="1" t="s">
        <v>109</v>
      </c>
      <c r="B40" s="1">
        <v>0.0</v>
      </c>
      <c r="C40" s="1">
        <v>0.0</v>
      </c>
      <c r="D40" s="1">
        <v>0.0</v>
      </c>
      <c r="E40" s="1">
        <v>0.0</v>
      </c>
      <c r="F40" s="1">
        <v>2.0</v>
      </c>
      <c r="G40" s="1">
        <v>2.0</v>
      </c>
      <c r="H40" s="1">
        <v>2.0</v>
      </c>
      <c r="I40" s="1">
        <v>0.0</v>
      </c>
      <c r="J40" s="1">
        <v>0.0</v>
      </c>
      <c r="K40" s="1">
        <v>0.0</v>
      </c>
      <c r="L40" s="2"/>
      <c r="M40" s="2"/>
      <c r="N40" s="2"/>
      <c r="O40" s="2"/>
      <c r="P40" s="2"/>
      <c r="Q40" s="2"/>
      <c r="R40" s="2"/>
      <c r="S40" s="2"/>
      <c r="T40" s="2"/>
      <c r="U40" s="2"/>
      <c r="V40" s="2"/>
      <c r="W40" s="2"/>
      <c r="X40" s="2"/>
      <c r="Y40" s="2"/>
      <c r="Z40" s="2"/>
    </row>
    <row r="41" ht="15.75" customHeight="1">
      <c r="A41" s="1" t="s">
        <v>110</v>
      </c>
      <c r="B41" s="1">
        <v>1.0</v>
      </c>
      <c r="C41" s="1">
        <v>1.0</v>
      </c>
      <c r="D41" s="1">
        <v>1.0</v>
      </c>
      <c r="E41" s="1">
        <v>1.0</v>
      </c>
      <c r="F41" s="1">
        <v>1.0</v>
      </c>
      <c r="G41" s="1">
        <v>1.0</v>
      </c>
      <c r="H41" s="1">
        <v>60.0</v>
      </c>
      <c r="I41" s="1">
        <v>70.0</v>
      </c>
      <c r="J41" s="1">
        <v>60.0</v>
      </c>
      <c r="K41" s="1">
        <v>60.0</v>
      </c>
      <c r="L41" s="2"/>
      <c r="M41" s="2"/>
      <c r="N41" s="2"/>
      <c r="O41" s="2"/>
      <c r="P41" s="2"/>
      <c r="Q41" s="2"/>
      <c r="R41" s="2"/>
      <c r="S41" s="2"/>
      <c r="T41" s="2"/>
      <c r="U41" s="2"/>
      <c r="V41" s="2"/>
      <c r="W41" s="2"/>
      <c r="X41" s="2"/>
      <c r="Y41" s="2"/>
      <c r="Z41" s="2"/>
    </row>
    <row r="42" ht="15.75" customHeight="1">
      <c r="A42" s="1" t="s">
        <v>111</v>
      </c>
      <c r="B42" s="1">
        <v>3130.0</v>
      </c>
      <c r="C42" s="1">
        <v>3150.0</v>
      </c>
      <c r="D42" s="1">
        <v>3180.0</v>
      </c>
      <c r="E42" s="1">
        <v>3200.0</v>
      </c>
      <c r="F42" s="1">
        <v>4500.0</v>
      </c>
      <c r="G42" s="1">
        <v>4540.0</v>
      </c>
      <c r="H42" s="1">
        <v>1960.0</v>
      </c>
      <c r="I42" s="1">
        <v>1700.0</v>
      </c>
      <c r="J42" s="1">
        <v>1640.0</v>
      </c>
      <c r="K42" s="1">
        <v>1670.0</v>
      </c>
      <c r="L42" s="2"/>
      <c r="M42" s="2"/>
      <c r="N42" s="2"/>
      <c r="O42" s="2"/>
      <c r="P42" s="2"/>
      <c r="Q42" s="2"/>
      <c r="R42" s="2"/>
      <c r="S42" s="2"/>
      <c r="T42" s="2"/>
      <c r="U42" s="2"/>
      <c r="V42" s="2"/>
      <c r="W42" s="2"/>
      <c r="X42" s="2"/>
      <c r="Y42" s="2"/>
      <c r="Z42" s="2"/>
    </row>
    <row r="43" ht="15.75" customHeight="1">
      <c r="A43" s="1" t="s">
        <v>112</v>
      </c>
      <c r="B43" s="1">
        <v>4810.0</v>
      </c>
      <c r="C43" s="1">
        <v>4860.0</v>
      </c>
      <c r="D43" s="1">
        <v>5300.0</v>
      </c>
      <c r="E43" s="1">
        <v>5700.0</v>
      </c>
      <c r="F43" s="1">
        <v>5760.0</v>
      </c>
      <c r="G43" s="1">
        <v>5970.0</v>
      </c>
      <c r="H43" s="1">
        <v>3550.0</v>
      </c>
      <c r="I43" s="1">
        <v>4070.0</v>
      </c>
      <c r="J43" s="1">
        <v>3700.0</v>
      </c>
      <c r="K43" s="1">
        <v>4030.0</v>
      </c>
      <c r="L43" s="2"/>
      <c r="M43" s="2"/>
      <c r="N43" s="2"/>
      <c r="O43" s="2"/>
      <c r="P43" s="2"/>
      <c r="Q43" s="2"/>
      <c r="R43" s="2"/>
      <c r="S43" s="2"/>
      <c r="T43" s="2"/>
      <c r="U43" s="2"/>
      <c r="V43" s="2"/>
      <c r="W43" s="2"/>
      <c r="X43" s="2"/>
      <c r="Y43" s="2"/>
      <c r="Z43" s="2"/>
    </row>
    <row r="44" ht="15.75" customHeight="1">
      <c r="A44" s="1" t="s">
        <v>113</v>
      </c>
      <c r="B44" s="1">
        <v>-3320.0</v>
      </c>
      <c r="C44" s="1">
        <v>-3600.0</v>
      </c>
      <c r="D44" s="1">
        <v>-4470.0</v>
      </c>
      <c r="E44" s="1">
        <v>-4860.0</v>
      </c>
      <c r="F44" s="1">
        <v>-4990.0</v>
      </c>
      <c r="G44" s="1">
        <v>-5270.0</v>
      </c>
      <c r="H44" s="1">
        <v>-267.0</v>
      </c>
      <c r="I44" s="1">
        <v>-123.0</v>
      </c>
      <c r="J44" s="1">
        <v>-123.0</v>
      </c>
      <c r="K44" s="1">
        <v>-123.0</v>
      </c>
      <c r="L44" s="2"/>
      <c r="M44" s="2"/>
      <c r="N44" s="2"/>
      <c r="O44" s="2"/>
      <c r="P44" s="2"/>
      <c r="Q44" s="2"/>
      <c r="R44" s="2"/>
      <c r="S44" s="2"/>
      <c r="T44" s="2"/>
      <c r="U44" s="2"/>
      <c r="V44" s="2"/>
      <c r="W44" s="2"/>
      <c r="X44" s="2"/>
      <c r="Y44" s="2"/>
      <c r="Z44" s="2"/>
    </row>
    <row r="45" ht="15.75" customHeight="1">
      <c r="A45" s="1" t="s">
        <v>114</v>
      </c>
      <c r="B45" s="1">
        <v>556.0</v>
      </c>
      <c r="C45" s="1">
        <v>119.0</v>
      </c>
      <c r="D45" s="1">
        <v>94.0</v>
      </c>
      <c r="E45" s="1">
        <v>234.0</v>
      </c>
      <c r="F45" s="1">
        <v>-155.0</v>
      </c>
      <c r="G45" s="1">
        <v>412.0</v>
      </c>
      <c r="H45" s="1">
        <v>710.0</v>
      </c>
      <c r="I45" s="1">
        <v>-150.0</v>
      </c>
      <c r="J45" s="1">
        <v>-986.0</v>
      </c>
      <c r="K45" s="1">
        <v>-765.0</v>
      </c>
      <c r="L45" s="2"/>
      <c r="M45" s="2"/>
      <c r="N45" s="2"/>
      <c r="O45" s="2"/>
      <c r="P45" s="2"/>
      <c r="Q45" s="2"/>
      <c r="R45" s="2"/>
      <c r="S45" s="2"/>
      <c r="T45" s="2"/>
      <c r="U45" s="2"/>
      <c r="V45" s="2"/>
      <c r="W45" s="2"/>
      <c r="X45" s="2"/>
      <c r="Y45" s="2"/>
      <c r="Z45" s="2"/>
    </row>
    <row r="46" ht="15.75" customHeight="1">
      <c r="A46" s="1" t="s">
        <v>115</v>
      </c>
      <c r="B46" s="1">
        <v>5180.0</v>
      </c>
      <c r="C46" s="1">
        <v>4520.0</v>
      </c>
      <c r="D46" s="1">
        <v>4100.0</v>
      </c>
      <c r="E46" s="1">
        <v>4270.0</v>
      </c>
      <c r="F46" s="1">
        <v>5110.0</v>
      </c>
      <c r="G46" s="1">
        <v>5650.0</v>
      </c>
      <c r="H46" s="1">
        <v>5950.0</v>
      </c>
      <c r="I46" s="1">
        <v>5490.0</v>
      </c>
      <c r="J46" s="1">
        <v>4230.0</v>
      </c>
      <c r="K46" s="1">
        <v>4810.0</v>
      </c>
      <c r="L46" s="2"/>
      <c r="M46" s="2"/>
      <c r="N46" s="2"/>
      <c r="O46" s="2"/>
      <c r="P46" s="2"/>
      <c r="Q46" s="2"/>
      <c r="R46" s="2"/>
      <c r="S46" s="2"/>
      <c r="T46" s="2"/>
      <c r="U46" s="2"/>
      <c r="V46" s="2"/>
      <c r="W46" s="2"/>
      <c r="X46" s="2"/>
      <c r="Y46" s="2"/>
      <c r="Z46" s="2"/>
    </row>
    <row r="47" ht="15.75" customHeight="1">
      <c r="A47" s="1" t="s">
        <v>116</v>
      </c>
      <c r="B47" s="1">
        <v>0.0</v>
      </c>
      <c r="C47" s="1">
        <v>0.0</v>
      </c>
      <c r="D47" s="1">
        <v>0.0</v>
      </c>
      <c r="E47" s="1">
        <v>10.0</v>
      </c>
      <c r="F47" s="1">
        <v>21.0</v>
      </c>
      <c r="G47" s="1">
        <v>29.0</v>
      </c>
      <c r="H47" s="1">
        <v>3.0</v>
      </c>
      <c r="I47" s="1">
        <v>0.0</v>
      </c>
      <c r="J47" s="1">
        <v>0.0</v>
      </c>
      <c r="K47" s="1">
        <v>0.0</v>
      </c>
      <c r="L47" s="2"/>
      <c r="M47" s="2"/>
      <c r="N47" s="2"/>
      <c r="O47" s="2"/>
      <c r="P47" s="2"/>
      <c r="Q47" s="2"/>
      <c r="R47" s="2"/>
      <c r="S47" s="2"/>
      <c r="T47" s="2"/>
      <c r="U47" s="2"/>
      <c r="V47" s="2"/>
      <c r="W47" s="2"/>
      <c r="X47" s="2"/>
      <c r="Y47" s="2"/>
      <c r="Z47" s="2"/>
    </row>
    <row r="48" ht="15.75" customHeight="1">
      <c r="A48" s="1" t="s">
        <v>117</v>
      </c>
      <c r="B48" s="1">
        <v>5180.0</v>
      </c>
      <c r="C48" s="1">
        <v>4520.0</v>
      </c>
      <c r="D48" s="1">
        <v>4100.0</v>
      </c>
      <c r="E48" s="1">
        <v>4280.0</v>
      </c>
      <c r="F48" s="1">
        <v>5130.0</v>
      </c>
      <c r="G48" s="1">
        <v>5680.0</v>
      </c>
      <c r="H48" s="1">
        <v>5950.0</v>
      </c>
      <c r="I48" s="1">
        <v>5490.0</v>
      </c>
      <c r="J48" s="1">
        <v>4230.0</v>
      </c>
      <c r="K48" s="1">
        <v>4810.0</v>
      </c>
      <c r="L48" s="2"/>
      <c r="M48" s="2"/>
      <c r="N48" s="2"/>
      <c r="O48" s="2"/>
      <c r="P48" s="2"/>
      <c r="Q48" s="2"/>
      <c r="R48" s="2"/>
      <c r="S48" s="2"/>
      <c r="T48" s="2"/>
      <c r="U48" s="2"/>
      <c r="V48" s="2"/>
      <c r="W48" s="2"/>
      <c r="X48" s="2"/>
      <c r="Y48" s="2"/>
      <c r="Z48" s="2"/>
    </row>
    <row r="49" ht="15.75" customHeight="1">
      <c r="A49" s="1" t="s">
        <v>118</v>
      </c>
      <c r="B49" s="1">
        <v>31560.0</v>
      </c>
      <c r="C49" s="1">
        <v>30040.0</v>
      </c>
      <c r="D49" s="1">
        <v>29710.0</v>
      </c>
      <c r="E49" s="1">
        <v>31840.0</v>
      </c>
      <c r="F49" s="1">
        <v>41090.0</v>
      </c>
      <c r="G49" s="1">
        <v>44290.0</v>
      </c>
      <c r="H49" s="1">
        <v>44650.0</v>
      </c>
      <c r="I49" s="1">
        <v>33910.0</v>
      </c>
      <c r="J49" s="1">
        <v>33120.0</v>
      </c>
      <c r="K49" s="1">
        <v>33640.0</v>
      </c>
      <c r="L49" s="2"/>
      <c r="M49" s="2"/>
      <c r="N49" s="2"/>
      <c r="O49" s="2"/>
      <c r="P49" s="2"/>
      <c r="Q49" s="2"/>
      <c r="R49" s="2"/>
      <c r="S49" s="2"/>
      <c r="T49" s="2"/>
      <c r="U49" s="2"/>
      <c r="V49" s="2"/>
      <c r="W49" s="2"/>
      <c r="X49" s="2"/>
      <c r="Y49" s="2"/>
      <c r="Z49" s="2"/>
    </row>
    <row r="50" ht="15.75" customHeight="1">
      <c r="A50" s="1" t="s">
        <v>64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119</v>
      </c>
      <c r="B51" s="1">
        <v>68.0</v>
      </c>
      <c r="C51" s="1">
        <v>64.0</v>
      </c>
      <c r="D51" s="1">
        <v>55.0</v>
      </c>
      <c r="E51" s="1">
        <v>52.0</v>
      </c>
      <c r="F51" s="1">
        <v>61.0</v>
      </c>
      <c r="G51" s="1">
        <v>59.0</v>
      </c>
      <c r="H51" s="1">
        <v>57.0</v>
      </c>
      <c r="I51" s="1">
        <v>55.0</v>
      </c>
      <c r="J51" s="1">
        <v>52.0</v>
      </c>
      <c r="K51" s="1">
        <v>51.0</v>
      </c>
      <c r="L51" s="2"/>
      <c r="M51" s="2"/>
      <c r="N51" s="2"/>
      <c r="O51" s="2"/>
      <c r="P51" s="2"/>
      <c r="Q51" s="2"/>
      <c r="R51" s="2"/>
      <c r="S51" s="2"/>
      <c r="T51" s="2"/>
      <c r="U51" s="2"/>
      <c r="V51" s="2"/>
      <c r="W51" s="2"/>
      <c r="X51" s="2"/>
      <c r="Y51" s="2"/>
      <c r="Z51" s="2"/>
    </row>
    <row r="52" ht="15.75" customHeight="1">
      <c r="A52" s="1" t="s">
        <v>120</v>
      </c>
      <c r="B52" s="1">
        <v>69.0</v>
      </c>
      <c r="C52" s="1">
        <v>65.0</v>
      </c>
      <c r="D52" s="1">
        <v>55.0</v>
      </c>
      <c r="E52" s="1">
        <v>52.0</v>
      </c>
      <c r="F52" s="1">
        <v>61.0</v>
      </c>
      <c r="G52" s="1">
        <v>59.0</v>
      </c>
      <c r="H52" s="1">
        <v>57.0</v>
      </c>
      <c r="I52" s="1">
        <v>55.0</v>
      </c>
      <c r="J52" s="1">
        <v>52.0</v>
      </c>
      <c r="K52" s="1">
        <v>51.0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3960.0</v>
      </c>
      <c r="C54" s="1">
        <v>3410.0</v>
      </c>
      <c r="D54" s="1">
        <v>3030.0</v>
      </c>
      <c r="E54" s="1">
        <v>3060.0</v>
      </c>
      <c r="F54" s="1">
        <v>2160.0</v>
      </c>
      <c r="G54" s="1">
        <v>2770.0</v>
      </c>
      <c r="H54" s="1">
        <v>2660.0</v>
      </c>
      <c r="I54" s="1">
        <v>2200.0</v>
      </c>
      <c r="J54" s="1">
        <v>987.0</v>
      </c>
      <c r="K54" s="1">
        <v>1630.0</v>
      </c>
      <c r="L54" s="2"/>
      <c r="M54" s="2"/>
      <c r="N54" s="2"/>
      <c r="O54" s="2"/>
      <c r="P54" s="2"/>
      <c r="Q54" s="2"/>
      <c r="R54" s="2"/>
      <c r="S54" s="2"/>
      <c r="T54" s="2"/>
      <c r="U54" s="2"/>
      <c r="V54" s="2"/>
      <c r="W54" s="2"/>
      <c r="X54" s="2"/>
      <c r="Y54" s="2"/>
      <c r="Z54" s="2"/>
    </row>
    <row r="55" ht="15.75" customHeight="1">
      <c r="A55" s="1" t="s">
        <v>133</v>
      </c>
      <c r="B55" s="1" t="s">
        <v>134</v>
      </c>
      <c r="C55" s="1" t="s">
        <v>135</v>
      </c>
      <c r="D55" s="1" t="s">
        <v>136</v>
      </c>
      <c r="E55" s="1" t="s">
        <v>137</v>
      </c>
      <c r="F55" s="1" t="s">
        <v>138</v>
      </c>
      <c r="G55" s="1" t="s">
        <v>139</v>
      </c>
      <c r="H55" s="1" t="s">
        <v>140</v>
      </c>
      <c r="I55" s="1" t="s">
        <v>141</v>
      </c>
      <c r="J55" s="1" t="s">
        <v>142</v>
      </c>
      <c r="K55" s="1" t="s">
        <v>143</v>
      </c>
      <c r="L55" s="2"/>
      <c r="M55" s="2"/>
      <c r="N55" s="2"/>
      <c r="O55" s="2"/>
      <c r="P55" s="2"/>
      <c r="Q55" s="2"/>
      <c r="R55" s="2"/>
      <c r="S55" s="2"/>
      <c r="T55" s="2"/>
      <c r="U55" s="2"/>
      <c r="V55" s="2"/>
      <c r="W55" s="2"/>
      <c r="X55" s="2"/>
      <c r="Y55" s="2"/>
      <c r="Z55" s="2"/>
    </row>
    <row r="56" ht="15.75" customHeight="1">
      <c r="A56" s="1" t="s">
        <v>144</v>
      </c>
      <c r="B56" s="1">
        <v>1270.0</v>
      </c>
      <c r="C56" s="1">
        <v>1170.0</v>
      </c>
      <c r="D56" s="1">
        <v>1070.0</v>
      </c>
      <c r="E56" s="1">
        <v>1520.0</v>
      </c>
      <c r="F56" s="1">
        <v>3320.0</v>
      </c>
      <c r="G56" s="1">
        <v>3690.0</v>
      </c>
      <c r="H56" s="1">
        <v>2330.0</v>
      </c>
      <c r="I56" s="1">
        <v>2260.0</v>
      </c>
      <c r="J56" s="1">
        <v>2170.0</v>
      </c>
      <c r="K56" s="1">
        <v>2120.0</v>
      </c>
      <c r="L56" s="2"/>
      <c r="M56" s="2"/>
      <c r="N56" s="2"/>
      <c r="O56" s="2"/>
      <c r="P56" s="2"/>
      <c r="Q56" s="2"/>
      <c r="R56" s="2"/>
      <c r="S56" s="2"/>
      <c r="T56" s="2"/>
      <c r="U56" s="2"/>
      <c r="V56" s="2"/>
      <c r="W56" s="2"/>
      <c r="X56" s="2"/>
      <c r="Y56" s="2"/>
      <c r="Z56" s="2"/>
    </row>
    <row r="57" ht="15.75" customHeight="1">
      <c r="A57" s="1" t="s">
        <v>145</v>
      </c>
      <c r="B57" s="1">
        <v>-51.0</v>
      </c>
      <c r="C57" s="1">
        <v>-117.0</v>
      </c>
      <c r="D57" s="1">
        <v>35.0</v>
      </c>
      <c r="E57" s="1">
        <v>452.0</v>
      </c>
      <c r="F57" s="1">
        <v>2009.0</v>
      </c>
      <c r="G57" s="1">
        <v>1790.0</v>
      </c>
      <c r="H57" s="1">
        <v>102.0</v>
      </c>
      <c r="I57" s="1">
        <v>222.0</v>
      </c>
      <c r="J57" s="1">
        <v>633.0</v>
      </c>
      <c r="K57" s="1">
        <v>488.0</v>
      </c>
      <c r="L57" s="2"/>
      <c r="M57" s="2"/>
      <c r="N57" s="2"/>
      <c r="O57" s="2"/>
      <c r="P57" s="2"/>
      <c r="Q57" s="2"/>
      <c r="R57" s="2"/>
      <c r="S57" s="2"/>
      <c r="T57" s="2"/>
      <c r="U57" s="2"/>
      <c r="V57" s="2"/>
      <c r="W57" s="2"/>
      <c r="X57" s="2"/>
      <c r="Y57" s="2"/>
      <c r="Z57" s="2"/>
    </row>
    <row r="58" ht="15.75" customHeight="1">
      <c r="A58" s="1" t="s">
        <v>146</v>
      </c>
      <c r="B58" s="1">
        <v>185.0</v>
      </c>
      <c r="C58" s="1">
        <v>186.0</v>
      </c>
      <c r="D58" s="1">
        <v>22.0</v>
      </c>
      <c r="E58" s="1">
        <v>16.0</v>
      </c>
      <c r="F58" s="1">
        <v>19.0</v>
      </c>
      <c r="G58" s="1">
        <v>16.0</v>
      </c>
      <c r="H58" s="1">
        <v>42.0</v>
      </c>
      <c r="I58" s="1">
        <v>4.0</v>
      </c>
      <c r="J58" s="1">
        <v>-43.0</v>
      </c>
      <c r="K58" s="1">
        <v>-36.0</v>
      </c>
      <c r="L58" s="2"/>
      <c r="M58" s="2"/>
      <c r="N58" s="2"/>
      <c r="O58" s="2"/>
      <c r="P58" s="2"/>
      <c r="Q58" s="2"/>
      <c r="R58" s="2"/>
      <c r="S58" s="2"/>
      <c r="T58" s="2"/>
      <c r="U58" s="2"/>
      <c r="V58" s="2"/>
      <c r="W58" s="2"/>
      <c r="X58" s="2"/>
      <c r="Y58" s="2"/>
      <c r="Z58" s="2"/>
    </row>
    <row r="59" ht="15.75" customHeight="1">
      <c r="A59" s="1" t="s">
        <v>147</v>
      </c>
      <c r="B59" s="1">
        <v>235.0</v>
      </c>
      <c r="C59" s="1">
        <v>235.0</v>
      </c>
      <c r="D59" s="1">
        <v>168.0</v>
      </c>
      <c r="E59" s="1">
        <v>143.0</v>
      </c>
      <c r="F59" s="1">
        <v>214.0</v>
      </c>
      <c r="G59" s="1">
        <v>210.0</v>
      </c>
      <c r="H59" s="1">
        <v>218.0</v>
      </c>
      <c r="I59" s="1">
        <v>208.0</v>
      </c>
      <c r="J59" s="1">
        <v>157.0</v>
      </c>
      <c r="K59" s="1">
        <v>161.0</v>
      </c>
      <c r="L59" s="2"/>
      <c r="M59" s="2"/>
      <c r="N59" s="2"/>
      <c r="O59" s="2"/>
      <c r="P59" s="2"/>
      <c r="Q59" s="2"/>
      <c r="R59" s="2"/>
      <c r="S59" s="2"/>
      <c r="T59" s="2"/>
      <c r="U59" s="2"/>
      <c r="V59" s="2"/>
      <c r="W59" s="2"/>
      <c r="X59" s="2"/>
      <c r="Y59" s="2"/>
      <c r="Z59" s="2"/>
    </row>
    <row r="60" ht="15.75" customHeight="1">
      <c r="A60" s="1" t="s">
        <v>148</v>
      </c>
      <c r="B60" s="1">
        <v>0.0</v>
      </c>
      <c r="C60" s="1">
        <v>0.0</v>
      </c>
      <c r="D60" s="1">
        <v>0.0</v>
      </c>
      <c r="E60" s="1">
        <v>10.0</v>
      </c>
      <c r="F60" s="1">
        <v>21.0</v>
      </c>
      <c r="G60" s="1">
        <v>29.0</v>
      </c>
      <c r="H60" s="1">
        <v>3.0</v>
      </c>
      <c r="I60" s="1">
        <v>0.0</v>
      </c>
      <c r="J60" s="1">
        <v>0.0</v>
      </c>
      <c r="K60" s="1">
        <v>0.0</v>
      </c>
      <c r="L60" s="2"/>
      <c r="M60" s="2"/>
      <c r="N60" s="2"/>
      <c r="O60" s="2"/>
      <c r="P60" s="2"/>
      <c r="Q60" s="2"/>
      <c r="R60" s="2"/>
      <c r="S60" s="2"/>
      <c r="T60" s="2"/>
      <c r="U60" s="2"/>
      <c r="V60" s="2"/>
      <c r="W60" s="2"/>
      <c r="X60" s="2"/>
      <c r="Y60" s="2"/>
      <c r="Z60" s="2"/>
    </row>
    <row r="61" ht="15.75" customHeight="1">
      <c r="A61" s="1" t="s">
        <v>149</v>
      </c>
      <c r="B61" s="1">
        <v>3.0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150</v>
      </c>
      <c r="B62" s="1">
        <v>14.0</v>
      </c>
      <c r="C62" s="1">
        <v>14.0</v>
      </c>
      <c r="D62" s="1">
        <v>14.0</v>
      </c>
      <c r="E62" s="1">
        <v>13.0</v>
      </c>
      <c r="F62" s="1">
        <v>13.0</v>
      </c>
      <c r="G62" s="1">
        <v>10.0</v>
      </c>
      <c r="H62" s="1">
        <v>10.0</v>
      </c>
      <c r="I62" s="1">
        <v>10.0</v>
      </c>
      <c r="J62" s="1">
        <v>10.0</v>
      </c>
      <c r="K62" s="1">
        <v>6.0</v>
      </c>
      <c r="L62" s="2"/>
      <c r="M62" s="2"/>
      <c r="N62" s="2"/>
      <c r="O62" s="2"/>
      <c r="P62" s="2"/>
      <c r="Q62" s="2"/>
      <c r="R62" s="2"/>
      <c r="S62" s="2"/>
      <c r="T62" s="2"/>
      <c r="U62" s="2"/>
      <c r="V62" s="2"/>
      <c r="W62" s="2"/>
      <c r="X62" s="2"/>
      <c r="Y62" s="2"/>
      <c r="Z62" s="2"/>
    </row>
    <row r="63" ht="15.75" customHeight="1">
      <c r="A63" s="1" t="s">
        <v>151</v>
      </c>
      <c r="B63" s="1">
        <v>259.0</v>
      </c>
      <c r="C63" s="1">
        <v>263.0</v>
      </c>
      <c r="D63" s="1">
        <v>269.0</v>
      </c>
      <c r="E63" s="1">
        <v>248.0</v>
      </c>
      <c r="F63" s="1">
        <v>262.0</v>
      </c>
      <c r="G63" s="1">
        <v>238.0</v>
      </c>
      <c r="H63" s="1">
        <v>249.0</v>
      </c>
      <c r="I63" s="1">
        <v>236.0</v>
      </c>
      <c r="J63" s="1">
        <v>229.0</v>
      </c>
      <c r="K63" s="1">
        <v>142.0</v>
      </c>
      <c r="L63" s="2"/>
      <c r="M63" s="2"/>
      <c r="N63" s="2"/>
      <c r="O63" s="2"/>
      <c r="P63" s="2"/>
      <c r="Q63" s="2"/>
      <c r="R63" s="2"/>
      <c r="S63" s="2"/>
      <c r="T63" s="2"/>
      <c r="U63" s="2"/>
      <c r="V63" s="2"/>
      <c r="W63" s="2"/>
      <c r="X63" s="2"/>
      <c r="Y63" s="2"/>
      <c r="Z63" s="2"/>
    </row>
    <row r="64" ht="15.75" customHeight="1">
      <c r="A64" s="1" t="s">
        <v>152</v>
      </c>
      <c r="B64" s="1">
        <v>519.0</v>
      </c>
      <c r="C64" s="1">
        <v>479.0</v>
      </c>
      <c r="D64" s="1">
        <v>394.0</v>
      </c>
      <c r="E64" s="1">
        <v>434.0</v>
      </c>
      <c r="F64" s="1">
        <v>491.0</v>
      </c>
      <c r="G64" s="1">
        <v>513.0</v>
      </c>
      <c r="H64" s="1">
        <v>581.0</v>
      </c>
      <c r="I64" s="1">
        <v>130.0</v>
      </c>
      <c r="J64" s="1">
        <v>120.0</v>
      </c>
      <c r="K64" s="1">
        <v>91.0</v>
      </c>
      <c r="L64" s="2"/>
      <c r="M64" s="2"/>
      <c r="N64" s="2"/>
      <c r="O64" s="2"/>
      <c r="P64" s="2"/>
      <c r="Q64" s="2"/>
      <c r="R64" s="2"/>
      <c r="S64" s="2"/>
      <c r="T64" s="2"/>
      <c r="U64" s="2"/>
      <c r="V64" s="2"/>
      <c r="W64" s="2"/>
      <c r="X64" s="2"/>
      <c r="Y64" s="2"/>
      <c r="Z64" s="2"/>
    </row>
    <row r="65" ht="15.75" customHeight="1">
      <c r="A65" s="1" t="s">
        <v>153</v>
      </c>
      <c r="B65" s="1">
        <v>1.0</v>
      </c>
      <c r="C65" s="1">
        <v>1.0</v>
      </c>
      <c r="D65" s="1">
        <v>1.0</v>
      </c>
      <c r="E65" s="1">
        <v>1.0</v>
      </c>
      <c r="F65" s="1">
        <v>1.0</v>
      </c>
      <c r="G65" s="1">
        <v>1.0</v>
      </c>
      <c r="H65" s="1">
        <v>1.0</v>
      </c>
      <c r="I65" s="1">
        <v>1.0</v>
      </c>
      <c r="J65" s="1">
        <v>1.0</v>
      </c>
      <c r="K65" s="1">
        <v>1.0</v>
      </c>
      <c r="L65" s="2"/>
      <c r="M65" s="2"/>
      <c r="N65" s="2"/>
      <c r="O65" s="2"/>
      <c r="P65" s="2"/>
      <c r="Q65" s="2"/>
      <c r="R65" s="2"/>
      <c r="S65" s="2"/>
      <c r="T65" s="2"/>
      <c r="U65" s="2"/>
      <c r="V65" s="2"/>
      <c r="W65" s="2"/>
      <c r="X65" s="2"/>
      <c r="Y65" s="2"/>
      <c r="Z65" s="2"/>
    </row>
    <row r="66" ht="15.75" customHeight="1">
      <c r="A66" s="1" t="s">
        <v>154</v>
      </c>
      <c r="B66" s="1">
        <v>0.0</v>
      </c>
      <c r="C66" s="1">
        <v>0.0</v>
      </c>
      <c r="D66" s="1">
        <v>0.0</v>
      </c>
      <c r="E66" s="1">
        <v>0.0</v>
      </c>
      <c r="F66" s="1">
        <v>0.0</v>
      </c>
      <c r="G66" s="1">
        <v>600.0</v>
      </c>
      <c r="H66" s="1">
        <v>500.0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8630.0</v>
      </c>
      <c r="C2" s="1">
        <v>8350.0</v>
      </c>
      <c r="D2" s="1">
        <v>5010.0</v>
      </c>
      <c r="E2" s="1">
        <v>4400.0</v>
      </c>
      <c r="F2" s="1">
        <v>6160.0</v>
      </c>
      <c r="G2" s="1">
        <v>8020.0</v>
      </c>
      <c r="H2" s="1">
        <v>8340.0</v>
      </c>
      <c r="I2" s="1">
        <v>8570.0</v>
      </c>
      <c r="J2" s="1">
        <v>8770.0</v>
      </c>
      <c r="K2" s="1">
        <v>9390.0</v>
      </c>
      <c r="L2" s="2"/>
      <c r="M2" s="2"/>
      <c r="N2" s="2"/>
      <c r="O2" s="2"/>
      <c r="P2" s="2"/>
      <c r="Q2" s="2"/>
      <c r="R2" s="2"/>
      <c r="S2" s="2"/>
      <c r="T2" s="2"/>
      <c r="U2" s="2"/>
      <c r="V2" s="2"/>
      <c r="W2" s="2"/>
      <c r="X2" s="2"/>
      <c r="Y2" s="2"/>
      <c r="Z2" s="2"/>
    </row>
    <row r="3">
      <c r="A3" s="1" t="s">
        <v>156</v>
      </c>
      <c r="B3" s="1">
        <v>656.0</v>
      </c>
      <c r="C3" s="1">
        <v>626.0</v>
      </c>
      <c r="D3" s="1">
        <v>516.0</v>
      </c>
      <c r="E3" s="1">
        <v>484.0</v>
      </c>
      <c r="F3" s="1">
        <v>598.0</v>
      </c>
      <c r="G3" s="1">
        <v>675.0</v>
      </c>
      <c r="H3" s="1">
        <v>575.0</v>
      </c>
      <c r="I3" s="1">
        <v>314.0</v>
      </c>
      <c r="J3" s="1">
        <v>364.0</v>
      </c>
      <c r="K3" s="1">
        <v>489.0</v>
      </c>
      <c r="L3" s="2"/>
      <c r="M3" s="2"/>
      <c r="N3" s="2"/>
      <c r="O3" s="2"/>
      <c r="P3" s="2"/>
      <c r="Q3" s="2"/>
      <c r="R3" s="2"/>
      <c r="S3" s="2"/>
      <c r="T3" s="2"/>
      <c r="U3" s="2"/>
      <c r="V3" s="2"/>
      <c r="W3" s="2"/>
      <c r="X3" s="2"/>
      <c r="Y3" s="2"/>
      <c r="Z3" s="2"/>
    </row>
    <row r="4">
      <c r="A4" s="1" t="s">
        <v>157</v>
      </c>
      <c r="B4" s="1">
        <v>60.0</v>
      </c>
      <c r="C4" s="1">
        <v>31.0</v>
      </c>
      <c r="D4" s="1">
        <v>162.0</v>
      </c>
      <c r="E4" s="1">
        <v>30.0</v>
      </c>
      <c r="F4" s="1">
        <v>-62.0</v>
      </c>
      <c r="G4" s="1">
        <v>-96.0</v>
      </c>
      <c r="H4" s="1">
        <v>-22.0</v>
      </c>
      <c r="I4" s="1">
        <v>128.0</v>
      </c>
      <c r="J4" s="1">
        <v>-180.0</v>
      </c>
      <c r="K4" s="1">
        <v>-68.0</v>
      </c>
      <c r="L4" s="2"/>
      <c r="M4" s="2"/>
      <c r="N4" s="2"/>
      <c r="O4" s="2"/>
      <c r="P4" s="2"/>
      <c r="Q4" s="2"/>
      <c r="R4" s="2"/>
      <c r="S4" s="2"/>
      <c r="T4" s="2"/>
      <c r="U4" s="2"/>
      <c r="V4" s="2"/>
      <c r="W4" s="2"/>
      <c r="X4" s="2"/>
      <c r="Y4" s="2"/>
      <c r="Z4" s="2"/>
    </row>
    <row r="5">
      <c r="A5" s="1" t="s">
        <v>158</v>
      </c>
      <c r="B5" s="1">
        <v>1030.0</v>
      </c>
      <c r="C5" s="1">
        <v>1320.0</v>
      </c>
      <c r="D5" s="1">
        <v>1820.0</v>
      </c>
      <c r="E5" s="1">
        <v>1500.0</v>
      </c>
      <c r="F5" s="1">
        <v>1360.0</v>
      </c>
      <c r="G5" s="1">
        <v>1330.0</v>
      </c>
      <c r="H5" s="1">
        <v>1180.0</v>
      </c>
      <c r="I5" s="1">
        <v>1170.0</v>
      </c>
      <c r="J5" s="1">
        <v>1240.0</v>
      </c>
      <c r="K5" s="1">
        <v>1320.0</v>
      </c>
      <c r="L5" s="2"/>
      <c r="M5" s="2"/>
      <c r="N5" s="2"/>
      <c r="O5" s="2"/>
      <c r="P5" s="2"/>
      <c r="Q5" s="2"/>
      <c r="R5" s="2"/>
      <c r="S5" s="2"/>
      <c r="T5" s="2"/>
      <c r="U5" s="2"/>
      <c r="V5" s="2"/>
      <c r="W5" s="2"/>
      <c r="X5" s="2"/>
      <c r="Y5" s="2"/>
      <c r="Z5" s="2"/>
    </row>
    <row r="6">
      <c r="A6" s="1" t="s">
        <v>159</v>
      </c>
      <c r="B6" s="1">
        <v>10380.0</v>
      </c>
      <c r="C6" s="1">
        <v>10330.0</v>
      </c>
      <c r="D6" s="1">
        <v>7500.0</v>
      </c>
      <c r="E6" s="1">
        <v>6420.0</v>
      </c>
      <c r="F6" s="1">
        <v>8060.0</v>
      </c>
      <c r="G6" s="1">
        <v>9920.0</v>
      </c>
      <c r="H6" s="1">
        <v>10080.0</v>
      </c>
      <c r="I6" s="1">
        <v>10190.0</v>
      </c>
      <c r="J6" s="1">
        <v>10190.0</v>
      </c>
      <c r="K6" s="1">
        <v>11130.0</v>
      </c>
      <c r="L6" s="2"/>
      <c r="M6" s="2"/>
      <c r="N6" s="2"/>
      <c r="O6" s="2"/>
      <c r="P6" s="2"/>
      <c r="Q6" s="2"/>
      <c r="R6" s="2"/>
      <c r="S6" s="2"/>
      <c r="T6" s="2"/>
      <c r="U6" s="2"/>
      <c r="V6" s="2"/>
      <c r="W6" s="2"/>
      <c r="X6" s="2"/>
      <c r="Y6" s="2"/>
      <c r="Z6" s="2"/>
    </row>
    <row r="7">
      <c r="A7" s="1" t="s">
        <v>160</v>
      </c>
      <c r="B7" s="1">
        <v>4410.0</v>
      </c>
      <c r="C7" s="1">
        <v>4740.0</v>
      </c>
      <c r="D7" s="1">
        <v>1810.0</v>
      </c>
      <c r="E7" s="1">
        <v>1870.0</v>
      </c>
      <c r="F7" s="1">
        <v>2340.0</v>
      </c>
      <c r="G7" s="1">
        <v>2650.0</v>
      </c>
      <c r="H7" s="1">
        <v>2550.0</v>
      </c>
      <c r="I7" s="1">
        <v>2200.0</v>
      </c>
      <c r="J7" s="1">
        <v>2360.0</v>
      </c>
      <c r="K7" s="1">
        <v>2520.0</v>
      </c>
      <c r="L7" s="2"/>
      <c r="M7" s="2"/>
      <c r="N7" s="2"/>
      <c r="O7" s="2"/>
      <c r="P7" s="2"/>
      <c r="Q7" s="2"/>
      <c r="R7" s="2"/>
      <c r="S7" s="2"/>
      <c r="T7" s="2"/>
      <c r="U7" s="2"/>
      <c r="V7" s="2"/>
      <c r="W7" s="2"/>
      <c r="X7" s="2"/>
      <c r="Y7" s="2"/>
      <c r="Z7" s="2"/>
    </row>
    <row r="8">
      <c r="A8" s="1" t="s">
        <v>161</v>
      </c>
      <c r="B8" s="1">
        <v>4170.0</v>
      </c>
      <c r="C8" s="1">
        <v>4320.0</v>
      </c>
      <c r="D8" s="1">
        <v>4320.0</v>
      </c>
      <c r="E8" s="1">
        <v>3840.0</v>
      </c>
      <c r="F8" s="1">
        <v>4930.0</v>
      </c>
      <c r="G8" s="1">
        <v>6330.0</v>
      </c>
      <c r="H8" s="1">
        <v>6520.0</v>
      </c>
      <c r="I8" s="1">
        <v>6830.0</v>
      </c>
      <c r="J8" s="1">
        <v>7120.0</v>
      </c>
      <c r="K8" s="1">
        <v>7440.0</v>
      </c>
      <c r="L8" s="2"/>
      <c r="M8" s="2"/>
      <c r="N8" s="2"/>
      <c r="O8" s="2"/>
      <c r="P8" s="2"/>
      <c r="Q8" s="2"/>
      <c r="R8" s="2"/>
      <c r="S8" s="2"/>
      <c r="T8" s="2"/>
      <c r="U8" s="2"/>
      <c r="V8" s="2"/>
      <c r="W8" s="2"/>
      <c r="X8" s="2"/>
      <c r="Y8" s="2"/>
      <c r="Z8" s="2"/>
    </row>
    <row r="9">
      <c r="A9" s="1" t="s">
        <v>162</v>
      </c>
      <c r="B9" s="1">
        <v>0.0</v>
      </c>
      <c r="C9" s="1">
        <v>0.0</v>
      </c>
      <c r="D9" s="1">
        <v>0.0</v>
      </c>
      <c r="E9" s="1">
        <v>0.0</v>
      </c>
      <c r="F9" s="1">
        <v>0.0</v>
      </c>
      <c r="G9" s="1">
        <v>0.0</v>
      </c>
      <c r="H9" s="1">
        <v>60.0</v>
      </c>
      <c r="I9" s="1">
        <v>73.0</v>
      </c>
      <c r="J9" s="1">
        <v>86.0</v>
      </c>
      <c r="K9" s="1">
        <v>109.0</v>
      </c>
      <c r="L9" s="2"/>
      <c r="M9" s="2"/>
      <c r="N9" s="2"/>
      <c r="O9" s="2"/>
      <c r="P9" s="2"/>
      <c r="Q9" s="2"/>
      <c r="R9" s="2"/>
      <c r="S9" s="2"/>
      <c r="T9" s="2"/>
      <c r="U9" s="2"/>
      <c r="V9" s="2"/>
      <c r="W9" s="2"/>
      <c r="X9" s="2"/>
      <c r="Y9" s="2"/>
      <c r="Z9" s="2"/>
    </row>
    <row r="10">
      <c r="A10" s="1" t="s">
        <v>163</v>
      </c>
      <c r="B10" s="1">
        <v>0.0</v>
      </c>
      <c r="C10" s="1">
        <v>0.0</v>
      </c>
      <c r="D10" s="1">
        <v>0.0</v>
      </c>
      <c r="E10" s="1">
        <v>0.0</v>
      </c>
      <c r="F10" s="1">
        <v>0.0</v>
      </c>
      <c r="G10" s="1">
        <v>0.0</v>
      </c>
      <c r="H10" s="1">
        <v>0.0</v>
      </c>
      <c r="I10" s="1">
        <v>0.0</v>
      </c>
      <c r="J10" s="1">
        <v>-18.0</v>
      </c>
      <c r="K10" s="1">
        <v>-23.0</v>
      </c>
      <c r="L10" s="2"/>
      <c r="M10" s="2"/>
      <c r="N10" s="2"/>
      <c r="O10" s="2"/>
      <c r="P10" s="2"/>
      <c r="Q10" s="2"/>
      <c r="R10" s="2"/>
      <c r="S10" s="2"/>
      <c r="T10" s="2"/>
      <c r="U10" s="2"/>
      <c r="V10" s="2"/>
      <c r="W10" s="2"/>
      <c r="X10" s="2"/>
      <c r="Y10" s="2"/>
      <c r="Z10" s="2"/>
    </row>
    <row r="11">
      <c r="A11" s="1" t="s">
        <v>164</v>
      </c>
      <c r="B11" s="1">
        <v>1000.0</v>
      </c>
      <c r="C11" s="1">
        <v>1010.0</v>
      </c>
      <c r="D11" s="1">
        <v>455.0</v>
      </c>
      <c r="E11" s="1">
        <v>214.0</v>
      </c>
      <c r="F11" s="1">
        <v>271.0</v>
      </c>
      <c r="G11" s="1">
        <v>194.0</v>
      </c>
      <c r="H11" s="1">
        <v>177.0</v>
      </c>
      <c r="I11" s="1">
        <v>171.0</v>
      </c>
      <c r="J11" s="1">
        <v>126.0</v>
      </c>
      <c r="K11" s="1">
        <v>130.0</v>
      </c>
      <c r="L11" s="2"/>
      <c r="M11" s="2"/>
      <c r="N11" s="2"/>
      <c r="O11" s="2"/>
      <c r="P11" s="2"/>
      <c r="Q11" s="2"/>
      <c r="R11" s="2"/>
      <c r="S11" s="2"/>
      <c r="T11" s="2"/>
      <c r="U11" s="2"/>
      <c r="V11" s="2"/>
      <c r="W11" s="2"/>
      <c r="X11" s="2"/>
      <c r="Y11" s="2"/>
      <c r="Z11" s="2"/>
    </row>
    <row r="12">
      <c r="A12" s="1" t="s">
        <v>165</v>
      </c>
      <c r="B12" s="1">
        <v>9580.0</v>
      </c>
      <c r="C12" s="1">
        <v>10070.0</v>
      </c>
      <c r="D12" s="1">
        <v>6590.0</v>
      </c>
      <c r="E12" s="1">
        <v>5920.0</v>
      </c>
      <c r="F12" s="1">
        <v>7540.0</v>
      </c>
      <c r="G12" s="1">
        <v>9180.0</v>
      </c>
      <c r="H12" s="1">
        <v>9300.0</v>
      </c>
      <c r="I12" s="1">
        <v>9270.0</v>
      </c>
      <c r="J12" s="1">
        <v>9670.0</v>
      </c>
      <c r="K12" s="1">
        <v>10180.0</v>
      </c>
      <c r="L12" s="2"/>
      <c r="M12" s="2"/>
      <c r="N12" s="2"/>
      <c r="O12" s="2"/>
      <c r="P12" s="2"/>
      <c r="Q12" s="2"/>
      <c r="R12" s="2"/>
      <c r="S12" s="2"/>
      <c r="T12" s="2"/>
      <c r="U12" s="2"/>
      <c r="V12" s="2"/>
      <c r="W12" s="2"/>
      <c r="X12" s="2"/>
      <c r="Y12" s="2"/>
      <c r="Z12" s="2"/>
    </row>
    <row r="13">
      <c r="A13" s="1" t="s">
        <v>166</v>
      </c>
      <c r="B13" s="1">
        <v>803.0</v>
      </c>
      <c r="C13" s="1">
        <v>256.0</v>
      </c>
      <c r="D13" s="1">
        <v>916.0</v>
      </c>
      <c r="E13" s="1">
        <v>494.0</v>
      </c>
      <c r="F13" s="1">
        <v>515.0</v>
      </c>
      <c r="G13" s="1">
        <v>740.0</v>
      </c>
      <c r="H13" s="1">
        <v>774.0</v>
      </c>
      <c r="I13" s="1">
        <v>917.0</v>
      </c>
      <c r="J13" s="1">
        <v>520.0</v>
      </c>
      <c r="K13" s="1">
        <v>949.0</v>
      </c>
      <c r="L13" s="2"/>
      <c r="M13" s="2"/>
      <c r="N13" s="2"/>
      <c r="O13" s="2"/>
      <c r="P13" s="2"/>
      <c r="Q13" s="2"/>
      <c r="R13" s="2"/>
      <c r="S13" s="2"/>
      <c r="T13" s="2"/>
      <c r="U13" s="2"/>
      <c r="V13" s="2"/>
      <c r="W13" s="2"/>
      <c r="X13" s="2"/>
      <c r="Y13" s="2"/>
      <c r="Z13" s="2"/>
    </row>
    <row r="14">
      <c r="A14" s="1" t="s">
        <v>167</v>
      </c>
      <c r="B14" s="1">
        <v>-58.0</v>
      </c>
      <c r="C14" s="1">
        <v>-55.0</v>
      </c>
      <c r="D14" s="1">
        <v>-57.0</v>
      </c>
      <c r="E14" s="1">
        <v>-49.0</v>
      </c>
      <c r="F14" s="1">
        <v>-100.0</v>
      </c>
      <c r="G14" s="1">
        <v>-111.0</v>
      </c>
      <c r="H14" s="1">
        <v>-104.0</v>
      </c>
      <c r="I14" s="1">
        <v>-112.0</v>
      </c>
      <c r="J14" s="1">
        <v>-108.0</v>
      </c>
      <c r="K14" s="1">
        <v>-108.0</v>
      </c>
      <c r="L14" s="2"/>
      <c r="M14" s="2"/>
      <c r="N14" s="2"/>
      <c r="O14" s="2"/>
      <c r="P14" s="2"/>
      <c r="Q14" s="2"/>
      <c r="R14" s="2"/>
      <c r="S14" s="2"/>
      <c r="T14" s="2"/>
      <c r="U14" s="2"/>
      <c r="V14" s="2"/>
      <c r="W14" s="2"/>
      <c r="X14" s="2"/>
      <c r="Y14" s="2"/>
      <c r="Z14" s="2"/>
    </row>
    <row r="15">
      <c r="A15" s="1" t="s">
        <v>168</v>
      </c>
      <c r="B15" s="1">
        <v>744.0</v>
      </c>
      <c r="C15" s="1">
        <v>201.0</v>
      </c>
      <c r="D15" s="1">
        <v>859.0</v>
      </c>
      <c r="E15" s="1">
        <v>444.0</v>
      </c>
      <c r="F15" s="1">
        <v>415.0</v>
      </c>
      <c r="G15" s="1">
        <v>630.0</v>
      </c>
      <c r="H15" s="1">
        <v>669.0</v>
      </c>
      <c r="I15" s="1">
        <v>805.0</v>
      </c>
      <c r="J15" s="1">
        <v>412.0</v>
      </c>
      <c r="K15" s="1">
        <v>841.0</v>
      </c>
      <c r="L15" s="2"/>
      <c r="M15" s="2"/>
      <c r="N15" s="2"/>
      <c r="O15" s="2"/>
      <c r="P15" s="2"/>
      <c r="Q15" s="2"/>
      <c r="R15" s="2"/>
      <c r="S15" s="2"/>
      <c r="T15" s="2"/>
      <c r="U15" s="2"/>
      <c r="V15" s="2"/>
      <c r="W15" s="2"/>
      <c r="X15" s="2"/>
      <c r="Y15" s="2"/>
      <c r="Z15" s="2"/>
    </row>
    <row r="16">
      <c r="A16" s="1" t="s">
        <v>169</v>
      </c>
      <c r="B16" s="1">
        <v>0.0</v>
      </c>
      <c r="C16" s="1">
        <v>0.0</v>
      </c>
      <c r="D16" s="1">
        <v>0.0</v>
      </c>
      <c r="E16" s="1">
        <v>0.0</v>
      </c>
      <c r="F16" s="1">
        <v>0.0</v>
      </c>
      <c r="G16" s="1">
        <v>0.0</v>
      </c>
      <c r="H16" s="1">
        <v>-7.0</v>
      </c>
      <c r="I16" s="1">
        <v>0.0</v>
      </c>
      <c r="J16" s="1">
        <v>-53.0</v>
      </c>
      <c r="K16" s="1">
        <v>-34.0</v>
      </c>
      <c r="L16" s="2"/>
      <c r="M16" s="2"/>
      <c r="N16" s="2"/>
      <c r="O16" s="2"/>
      <c r="P16" s="2"/>
      <c r="Q16" s="2"/>
      <c r="R16" s="2"/>
      <c r="S16" s="2"/>
      <c r="T16" s="2"/>
      <c r="U16" s="2"/>
      <c r="V16" s="2"/>
      <c r="W16" s="2"/>
      <c r="X16" s="2"/>
      <c r="Y16" s="2"/>
      <c r="Z16" s="2"/>
    </row>
    <row r="17">
      <c r="A17" s="1" t="s">
        <v>170</v>
      </c>
      <c r="B17" s="1">
        <v>0.0</v>
      </c>
      <c r="C17" s="1">
        <v>0.0</v>
      </c>
      <c r="D17" s="1">
        <v>0.0</v>
      </c>
      <c r="E17" s="1">
        <v>0.0</v>
      </c>
      <c r="F17" s="1">
        <v>-60.0</v>
      </c>
      <c r="G17" s="1">
        <v>-28.0</v>
      </c>
      <c r="H17" s="1">
        <v>-19.0</v>
      </c>
      <c r="I17" s="1">
        <v>0.0</v>
      </c>
      <c r="J17" s="1">
        <v>0.0</v>
      </c>
      <c r="K17" s="1">
        <v>0.0</v>
      </c>
      <c r="L17" s="2"/>
      <c r="M17" s="2"/>
      <c r="N17" s="2"/>
      <c r="O17" s="2"/>
      <c r="P17" s="2"/>
      <c r="Q17" s="2"/>
      <c r="R17" s="2"/>
      <c r="S17" s="2"/>
      <c r="T17" s="2"/>
      <c r="U17" s="2"/>
      <c r="V17" s="2"/>
      <c r="W17" s="2"/>
      <c r="X17" s="2"/>
      <c r="Y17" s="2"/>
      <c r="Z17" s="2"/>
    </row>
    <row r="18">
      <c r="A18" s="1" t="s">
        <v>171</v>
      </c>
      <c r="B18" s="1">
        <v>0.0</v>
      </c>
      <c r="C18" s="1">
        <v>0.0</v>
      </c>
      <c r="D18" s="1">
        <v>0.0</v>
      </c>
      <c r="E18" s="1">
        <v>0.0</v>
      </c>
      <c r="F18" s="1">
        <v>0.0</v>
      </c>
      <c r="G18" s="1">
        <v>0.0</v>
      </c>
      <c r="H18" s="1">
        <v>-138.0</v>
      </c>
      <c r="I18" s="1">
        <v>0.0</v>
      </c>
      <c r="J18" s="1">
        <v>-7.0</v>
      </c>
      <c r="K18" s="1">
        <v>0.0</v>
      </c>
      <c r="L18" s="2"/>
      <c r="M18" s="2"/>
      <c r="N18" s="2"/>
      <c r="O18" s="2"/>
      <c r="P18" s="2"/>
      <c r="Q18" s="2"/>
      <c r="R18" s="2"/>
      <c r="S18" s="2"/>
      <c r="T18" s="2"/>
      <c r="U18" s="2"/>
      <c r="V18" s="2"/>
      <c r="W18" s="2"/>
      <c r="X18" s="2"/>
      <c r="Y18" s="2"/>
      <c r="Z18" s="2"/>
    </row>
    <row r="19">
      <c r="A19" s="1" t="s">
        <v>172</v>
      </c>
      <c r="B19" s="1">
        <v>0.0</v>
      </c>
      <c r="C19" s="1">
        <v>0.0</v>
      </c>
      <c r="D19" s="1">
        <v>0.0</v>
      </c>
      <c r="E19" s="1">
        <v>0.0</v>
      </c>
      <c r="F19" s="1">
        <v>0.0</v>
      </c>
      <c r="G19" s="1">
        <v>0.0</v>
      </c>
      <c r="H19" s="1">
        <v>10.0</v>
      </c>
      <c r="I19" s="1">
        <v>0.0</v>
      </c>
      <c r="J19" s="1">
        <v>0.0</v>
      </c>
      <c r="K19" s="1">
        <v>0.0</v>
      </c>
      <c r="L19" s="2"/>
      <c r="M19" s="2"/>
      <c r="N19" s="2"/>
      <c r="O19" s="2"/>
      <c r="P19" s="2"/>
      <c r="Q19" s="2"/>
      <c r="R19" s="2"/>
      <c r="S19" s="2"/>
      <c r="T19" s="2"/>
      <c r="U19" s="2"/>
      <c r="V19" s="2"/>
      <c r="W19" s="2"/>
      <c r="X19" s="2"/>
      <c r="Y19" s="2"/>
      <c r="Z19" s="2"/>
    </row>
    <row r="20">
      <c r="A20" s="1" t="s">
        <v>173</v>
      </c>
      <c r="B20" s="1">
        <v>0.0</v>
      </c>
      <c r="C20" s="1">
        <v>0.0</v>
      </c>
      <c r="D20" s="1">
        <v>-16.0</v>
      </c>
      <c r="E20" s="1">
        <v>0.0</v>
      </c>
      <c r="F20" s="1">
        <v>-20.0</v>
      </c>
      <c r="G20" s="1">
        <v>-15.0</v>
      </c>
      <c r="H20" s="1">
        <v>0.0</v>
      </c>
      <c r="I20" s="1">
        <v>-1.0</v>
      </c>
      <c r="J20" s="1">
        <v>0.0</v>
      </c>
      <c r="K20" s="1">
        <v>0.0</v>
      </c>
      <c r="L20" s="2"/>
      <c r="M20" s="2"/>
      <c r="N20" s="2"/>
      <c r="O20" s="2"/>
      <c r="P20" s="2"/>
      <c r="Q20" s="2"/>
      <c r="R20" s="2"/>
      <c r="S20" s="2"/>
      <c r="T20" s="2"/>
      <c r="U20" s="2"/>
      <c r="V20" s="2"/>
      <c r="W20" s="2"/>
      <c r="X20" s="2"/>
      <c r="Y20" s="2"/>
      <c r="Z20" s="2"/>
    </row>
    <row r="21" ht="15.75" customHeight="1">
      <c r="A21" s="1" t="s">
        <v>174</v>
      </c>
      <c r="B21" s="1">
        <v>0.0</v>
      </c>
      <c r="C21" s="1">
        <v>0.0</v>
      </c>
      <c r="D21" s="1">
        <v>6.0</v>
      </c>
      <c r="E21" s="1">
        <v>0.0</v>
      </c>
      <c r="F21" s="1">
        <v>0.0</v>
      </c>
      <c r="G21" s="1">
        <v>-31.0</v>
      </c>
      <c r="H21" s="1">
        <v>0.0</v>
      </c>
      <c r="I21" s="1">
        <v>-20.0</v>
      </c>
      <c r="J21" s="1">
        <v>-90.0</v>
      </c>
      <c r="K21" s="1">
        <v>10.0</v>
      </c>
      <c r="L21" s="2"/>
      <c r="M21" s="2"/>
      <c r="N21" s="2"/>
      <c r="O21" s="2"/>
      <c r="P21" s="2"/>
      <c r="Q21" s="2"/>
      <c r="R21" s="2"/>
      <c r="S21" s="2"/>
      <c r="T21" s="2"/>
      <c r="U21" s="2"/>
      <c r="V21" s="2"/>
      <c r="W21" s="2"/>
      <c r="X21" s="2"/>
      <c r="Y21" s="2"/>
      <c r="Z21" s="2"/>
    </row>
    <row r="22" ht="15.75" customHeight="1">
      <c r="A22" s="1" t="s">
        <v>175</v>
      </c>
      <c r="B22" s="1">
        <v>744.0</v>
      </c>
      <c r="C22" s="1">
        <v>201.0</v>
      </c>
      <c r="D22" s="1">
        <v>849.0</v>
      </c>
      <c r="E22" s="1">
        <v>444.0</v>
      </c>
      <c r="F22" s="1">
        <v>334.0</v>
      </c>
      <c r="G22" s="1">
        <v>554.0</v>
      </c>
      <c r="H22" s="1">
        <v>515.0</v>
      </c>
      <c r="I22" s="1">
        <v>783.0</v>
      </c>
      <c r="J22" s="1">
        <v>350.0</v>
      </c>
      <c r="K22" s="1">
        <v>807.0</v>
      </c>
      <c r="L22" s="2"/>
      <c r="M22" s="2"/>
      <c r="N22" s="2"/>
      <c r="O22" s="2"/>
      <c r="P22" s="2"/>
      <c r="Q22" s="2"/>
      <c r="R22" s="2"/>
      <c r="S22" s="2"/>
      <c r="T22" s="2"/>
      <c r="U22" s="2"/>
      <c r="V22" s="2"/>
      <c r="W22" s="2"/>
      <c r="X22" s="2"/>
      <c r="Y22" s="2"/>
      <c r="Z22" s="2"/>
    </row>
    <row r="23" ht="15.75" customHeight="1">
      <c r="A23" s="1" t="s">
        <v>176</v>
      </c>
      <c r="B23" s="1">
        <v>273.0</v>
      </c>
      <c r="C23" s="1">
        <v>59.0</v>
      </c>
      <c r="D23" s="1">
        <v>283.0</v>
      </c>
      <c r="E23" s="1">
        <v>-75.0</v>
      </c>
      <c r="F23" s="1">
        <v>80.0</v>
      </c>
      <c r="G23" s="1">
        <v>168.0</v>
      </c>
      <c r="H23" s="1">
        <v>72.0</v>
      </c>
      <c r="I23" s="1">
        <v>170.0</v>
      </c>
      <c r="J23" s="1">
        <v>73.0</v>
      </c>
      <c r="K23" s="1">
        <v>164.0</v>
      </c>
      <c r="L23" s="2"/>
      <c r="M23" s="2"/>
      <c r="N23" s="2"/>
      <c r="O23" s="2"/>
      <c r="P23" s="2"/>
      <c r="Q23" s="2"/>
      <c r="R23" s="2"/>
      <c r="S23" s="2"/>
      <c r="T23" s="2"/>
      <c r="U23" s="2"/>
      <c r="V23" s="2"/>
      <c r="W23" s="2"/>
      <c r="X23" s="2"/>
      <c r="Y23" s="2"/>
      <c r="Z23" s="2"/>
    </row>
    <row r="24" ht="15.75" customHeight="1">
      <c r="A24" s="1" t="s">
        <v>177</v>
      </c>
      <c r="B24" s="1">
        <v>471.0</v>
      </c>
      <c r="C24" s="1">
        <v>142.0</v>
      </c>
      <c r="D24" s="1">
        <v>565.0</v>
      </c>
      <c r="E24" s="1">
        <v>520.0</v>
      </c>
      <c r="F24" s="1">
        <v>253.0</v>
      </c>
      <c r="G24" s="1">
        <v>387.0</v>
      </c>
      <c r="H24" s="1">
        <v>443.0</v>
      </c>
      <c r="I24" s="1">
        <v>614.0</v>
      </c>
      <c r="J24" s="1">
        <v>277.0</v>
      </c>
      <c r="K24" s="1">
        <v>642.0</v>
      </c>
      <c r="L24" s="2"/>
      <c r="M24" s="2"/>
      <c r="N24" s="2"/>
      <c r="O24" s="2"/>
      <c r="P24" s="2"/>
      <c r="Q24" s="2"/>
      <c r="R24" s="2"/>
      <c r="S24" s="2"/>
      <c r="T24" s="2"/>
      <c r="U24" s="2"/>
      <c r="V24" s="2"/>
      <c r="W24" s="2"/>
      <c r="X24" s="2"/>
      <c r="Y24" s="2"/>
      <c r="Z24" s="2"/>
    </row>
    <row r="25" ht="15.75" customHeight="1">
      <c r="A25" s="1" t="s">
        <v>178</v>
      </c>
      <c r="B25" s="1">
        <v>0.0</v>
      </c>
      <c r="C25" s="1">
        <v>0.0</v>
      </c>
      <c r="D25" s="1">
        <v>0.0</v>
      </c>
      <c r="E25" s="1">
        <v>0.0</v>
      </c>
      <c r="F25" s="1">
        <v>0.0</v>
      </c>
      <c r="G25" s="1">
        <v>0.0</v>
      </c>
      <c r="H25" s="1">
        <v>0.0</v>
      </c>
      <c r="I25" s="1">
        <v>759.0</v>
      </c>
      <c r="J25" s="1">
        <v>0.0</v>
      </c>
      <c r="K25" s="1">
        <v>0.0</v>
      </c>
      <c r="L25" s="2"/>
      <c r="M25" s="2"/>
      <c r="N25" s="2"/>
      <c r="O25" s="2"/>
      <c r="P25" s="2"/>
      <c r="Q25" s="2"/>
      <c r="R25" s="2"/>
      <c r="S25" s="2"/>
      <c r="T25" s="2"/>
      <c r="U25" s="2"/>
      <c r="V25" s="2"/>
      <c r="W25" s="2"/>
      <c r="X25" s="2"/>
      <c r="Y25" s="2"/>
      <c r="Z25" s="2"/>
    </row>
    <row r="26" ht="15.75" customHeight="1">
      <c r="A26" s="1" t="s">
        <v>179</v>
      </c>
      <c r="B26" s="1">
        <v>471.0</v>
      </c>
      <c r="C26" s="1">
        <v>142.0</v>
      </c>
      <c r="D26" s="1">
        <v>565.0</v>
      </c>
      <c r="E26" s="1">
        <v>520.0</v>
      </c>
      <c r="F26" s="1">
        <v>253.0</v>
      </c>
      <c r="G26" s="1">
        <v>387.0</v>
      </c>
      <c r="H26" s="1">
        <v>443.0</v>
      </c>
      <c r="I26" s="1">
        <v>1370.0</v>
      </c>
      <c r="J26" s="1">
        <v>277.0</v>
      </c>
      <c r="K26" s="1">
        <v>642.0</v>
      </c>
      <c r="L26" s="2"/>
      <c r="M26" s="2"/>
      <c r="N26" s="2"/>
      <c r="O26" s="2"/>
      <c r="P26" s="2"/>
      <c r="Q26" s="2"/>
      <c r="R26" s="2"/>
      <c r="S26" s="2"/>
      <c r="T26" s="2"/>
      <c r="U26" s="2"/>
      <c r="V26" s="2"/>
      <c r="W26" s="2"/>
      <c r="X26" s="2"/>
      <c r="Y26" s="2"/>
      <c r="Z26" s="2"/>
    </row>
    <row r="27" ht="15.75" customHeight="1">
      <c r="A27" s="1" t="s">
        <v>116</v>
      </c>
      <c r="B27" s="1">
        <v>0.0</v>
      </c>
      <c r="C27" s="1">
        <v>0.0</v>
      </c>
      <c r="D27" s="1">
        <v>0.0</v>
      </c>
      <c r="E27" s="1">
        <v>0.0</v>
      </c>
      <c r="F27" s="1">
        <v>-1.0</v>
      </c>
      <c r="G27" s="1">
        <v>-4.0</v>
      </c>
      <c r="H27" s="1">
        <v>-90.0</v>
      </c>
      <c r="I27" s="1">
        <v>0.0</v>
      </c>
      <c r="J27" s="1">
        <v>0.0</v>
      </c>
      <c r="K27" s="1">
        <v>0.0</v>
      </c>
      <c r="L27" s="2"/>
      <c r="M27" s="2"/>
      <c r="N27" s="2"/>
      <c r="O27" s="2"/>
      <c r="P27" s="2"/>
      <c r="Q27" s="2"/>
      <c r="R27" s="2"/>
      <c r="S27" s="2"/>
      <c r="T27" s="2"/>
      <c r="U27" s="2"/>
      <c r="V27" s="2"/>
      <c r="W27" s="2"/>
      <c r="X27" s="2"/>
      <c r="Y27" s="2"/>
      <c r="Z27" s="2"/>
    </row>
    <row r="28" ht="15.75" customHeight="1">
      <c r="A28" s="1" t="s">
        <v>180</v>
      </c>
      <c r="B28" s="1">
        <v>471.0</v>
      </c>
      <c r="C28" s="1">
        <v>142.0</v>
      </c>
      <c r="D28" s="1">
        <v>565.0</v>
      </c>
      <c r="E28" s="1">
        <v>520.0</v>
      </c>
      <c r="F28" s="1">
        <v>251.0</v>
      </c>
      <c r="G28" s="1">
        <v>383.0</v>
      </c>
      <c r="H28" s="1">
        <v>442.0</v>
      </c>
      <c r="I28" s="1">
        <v>1370.0</v>
      </c>
      <c r="J28" s="1">
        <v>277.0</v>
      </c>
      <c r="K28" s="1">
        <v>642.0</v>
      </c>
      <c r="L28" s="2"/>
      <c r="M28" s="2"/>
      <c r="N28" s="2"/>
      <c r="O28" s="2"/>
      <c r="P28" s="2"/>
      <c r="Q28" s="2"/>
      <c r="R28" s="2"/>
      <c r="S28" s="2"/>
      <c r="T28" s="2"/>
      <c r="U28" s="2"/>
      <c r="V28" s="2"/>
      <c r="W28" s="2"/>
      <c r="X28" s="2"/>
      <c r="Y28" s="2"/>
      <c r="Z28" s="2"/>
    </row>
    <row r="29" ht="15.75" customHeight="1">
      <c r="A29" s="1" t="s">
        <v>181</v>
      </c>
      <c r="B29" s="1">
        <v>0.0</v>
      </c>
      <c r="C29" s="1">
        <v>0.0</v>
      </c>
      <c r="D29" s="1">
        <v>0.0</v>
      </c>
      <c r="E29" s="1">
        <v>0.0</v>
      </c>
      <c r="F29" s="1">
        <v>14.0</v>
      </c>
      <c r="G29" s="1">
        <v>18.0</v>
      </c>
      <c r="H29" s="1">
        <v>18.0</v>
      </c>
      <c r="I29" s="1">
        <v>4.0</v>
      </c>
      <c r="J29" s="1">
        <v>0.0</v>
      </c>
      <c r="K29" s="1">
        <v>0.0</v>
      </c>
      <c r="L29" s="2"/>
      <c r="M29" s="2"/>
      <c r="N29" s="2"/>
      <c r="O29" s="2"/>
      <c r="P29" s="2"/>
      <c r="Q29" s="2"/>
      <c r="R29" s="2"/>
      <c r="S29" s="2"/>
      <c r="T29" s="2"/>
      <c r="U29" s="2"/>
      <c r="V29" s="2"/>
      <c r="W29" s="2"/>
      <c r="X29" s="2"/>
      <c r="Y29" s="2"/>
      <c r="Z29" s="2"/>
    </row>
    <row r="30" ht="15.75" customHeight="1">
      <c r="A30" s="1" t="s">
        <v>182</v>
      </c>
      <c r="B30" s="1">
        <v>471.0</v>
      </c>
      <c r="C30" s="1">
        <v>142.0</v>
      </c>
      <c r="D30" s="1">
        <v>565.0</v>
      </c>
      <c r="E30" s="1">
        <v>520.0</v>
      </c>
      <c r="F30" s="1">
        <v>237.0</v>
      </c>
      <c r="G30" s="1">
        <v>364.0</v>
      </c>
      <c r="H30" s="1">
        <v>423.0</v>
      </c>
      <c r="I30" s="1">
        <v>1370.0</v>
      </c>
      <c r="J30" s="1">
        <v>277.0</v>
      </c>
      <c r="K30" s="1">
        <v>642.0</v>
      </c>
      <c r="L30" s="2"/>
      <c r="M30" s="2"/>
      <c r="N30" s="2"/>
      <c r="O30" s="2"/>
      <c r="P30" s="2"/>
      <c r="Q30" s="2"/>
      <c r="R30" s="2"/>
      <c r="S30" s="2"/>
      <c r="T30" s="2"/>
      <c r="U30" s="2"/>
      <c r="V30" s="2"/>
      <c r="W30" s="2"/>
      <c r="X30" s="2"/>
      <c r="Y30" s="2"/>
      <c r="Z30" s="2"/>
    </row>
    <row r="31" ht="15.75" customHeight="1">
      <c r="A31" s="1" t="s">
        <v>183</v>
      </c>
      <c r="B31" s="1">
        <v>471.0</v>
      </c>
      <c r="C31" s="1">
        <v>142.0</v>
      </c>
      <c r="D31" s="1">
        <v>565.0</v>
      </c>
      <c r="E31" s="1">
        <v>520.0</v>
      </c>
      <c r="F31" s="1">
        <v>237.0</v>
      </c>
      <c r="G31" s="1">
        <v>364.0</v>
      </c>
      <c r="H31" s="1">
        <v>423.0</v>
      </c>
      <c r="I31" s="1">
        <v>609.0</v>
      </c>
      <c r="J31" s="1">
        <v>277.0</v>
      </c>
      <c r="K31" s="1">
        <v>642.0</v>
      </c>
      <c r="L31" s="2"/>
      <c r="M31" s="2"/>
      <c r="N31" s="2"/>
      <c r="O31" s="2"/>
      <c r="P31" s="2"/>
      <c r="Q31" s="2"/>
      <c r="R31" s="2"/>
      <c r="S31" s="2"/>
      <c r="T31" s="2"/>
      <c r="U31" s="2"/>
      <c r="V31" s="2"/>
      <c r="W31" s="2"/>
      <c r="X31" s="2"/>
      <c r="Y31" s="2"/>
      <c r="Z31" s="2"/>
    </row>
    <row r="32" ht="15.75" customHeight="1">
      <c r="A32" s="1" t="s">
        <v>184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v>4.0</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195</v>
      </c>
      <c r="B34" s="1" t="s">
        <v>186</v>
      </c>
      <c r="C34" s="1" t="s">
        <v>187</v>
      </c>
      <c r="D34" s="1" t="s">
        <v>188</v>
      </c>
      <c r="E34" s="1" t="s">
        <v>189</v>
      </c>
      <c r="F34" s="1">
        <v>4.0</v>
      </c>
      <c r="G34" s="1" t="s">
        <v>190</v>
      </c>
      <c r="H34" s="1" t="s">
        <v>191</v>
      </c>
      <c r="I34" s="1" t="s">
        <v>196</v>
      </c>
      <c r="J34" s="1" t="s">
        <v>193</v>
      </c>
      <c r="K34" s="1" t="s">
        <v>194</v>
      </c>
      <c r="L34" s="2"/>
      <c r="M34" s="2"/>
      <c r="N34" s="2"/>
      <c r="O34" s="2"/>
      <c r="P34" s="2"/>
      <c r="Q34" s="2"/>
      <c r="R34" s="2"/>
      <c r="S34" s="2"/>
      <c r="T34" s="2"/>
      <c r="U34" s="2"/>
      <c r="V34" s="2"/>
      <c r="W34" s="2"/>
      <c r="X34" s="2"/>
      <c r="Y34" s="2"/>
      <c r="Z34" s="2"/>
    </row>
    <row r="35" ht="15.75" customHeight="1">
      <c r="A35" s="1" t="s">
        <v>197</v>
      </c>
      <c r="B35" s="1">
        <v>72.0</v>
      </c>
      <c r="C35" s="1">
        <v>68.0</v>
      </c>
      <c r="D35" s="1">
        <v>61.0</v>
      </c>
      <c r="E35" s="1">
        <v>54.0</v>
      </c>
      <c r="F35" s="1">
        <v>59.0</v>
      </c>
      <c r="G35" s="1">
        <v>61.0</v>
      </c>
      <c r="H35" s="1">
        <v>60.0</v>
      </c>
      <c r="I35" s="1">
        <v>59.0</v>
      </c>
      <c r="J35" s="1">
        <v>54.0</v>
      </c>
      <c r="K35" s="1">
        <v>53.0</v>
      </c>
      <c r="L35" s="2"/>
      <c r="M35" s="2"/>
      <c r="N35" s="2"/>
      <c r="O35" s="2"/>
      <c r="P35" s="2"/>
      <c r="Q35" s="2"/>
      <c r="R35" s="2"/>
      <c r="S35" s="2"/>
      <c r="T35" s="2"/>
      <c r="U35" s="2"/>
      <c r="V35" s="2"/>
      <c r="W35" s="2"/>
      <c r="X35" s="2"/>
      <c r="Y35" s="2"/>
      <c r="Z35" s="2"/>
    </row>
    <row r="36" ht="15.75" customHeight="1">
      <c r="A36" s="1" t="s">
        <v>198</v>
      </c>
      <c r="B36" s="1" t="s">
        <v>199</v>
      </c>
      <c r="C36" s="1" t="s">
        <v>200</v>
      </c>
      <c r="D36" s="1" t="s">
        <v>201</v>
      </c>
      <c r="E36" s="1" t="s">
        <v>202</v>
      </c>
      <c r="F36" s="1" t="s">
        <v>203</v>
      </c>
      <c r="G36" s="1" t="s">
        <v>204</v>
      </c>
      <c r="H36" s="1" t="s">
        <v>205</v>
      </c>
      <c r="I36" s="1" t="s">
        <v>206</v>
      </c>
      <c r="J36" s="1" t="s">
        <v>207</v>
      </c>
      <c r="K36" s="1" t="s">
        <v>208</v>
      </c>
      <c r="L36" s="2"/>
      <c r="M36" s="2"/>
      <c r="N36" s="2"/>
      <c r="O36" s="2"/>
      <c r="P36" s="2"/>
      <c r="Q36" s="2"/>
      <c r="R36" s="2"/>
      <c r="S36" s="2"/>
      <c r="T36" s="2"/>
      <c r="U36" s="2"/>
      <c r="V36" s="2"/>
      <c r="W36" s="2"/>
      <c r="X36" s="2"/>
      <c r="Y36" s="2"/>
      <c r="Z36" s="2"/>
    </row>
    <row r="37" ht="15.75" customHeight="1">
      <c r="A37" s="1" t="s">
        <v>209</v>
      </c>
      <c r="B37" s="1" t="s">
        <v>199</v>
      </c>
      <c r="C37" s="1" t="s">
        <v>200</v>
      </c>
      <c r="D37" s="1" t="s">
        <v>201</v>
      </c>
      <c r="E37" s="1" t="s">
        <v>202</v>
      </c>
      <c r="F37" s="1" t="s">
        <v>203</v>
      </c>
      <c r="G37" s="1" t="s">
        <v>204</v>
      </c>
      <c r="H37" s="1" t="s">
        <v>205</v>
      </c>
      <c r="I37" s="1" t="s">
        <v>210</v>
      </c>
      <c r="J37" s="1" t="s">
        <v>207</v>
      </c>
      <c r="K37" s="1" t="s">
        <v>208</v>
      </c>
      <c r="L37" s="2"/>
      <c r="M37" s="2"/>
      <c r="N37" s="2"/>
      <c r="O37" s="2"/>
      <c r="P37" s="2"/>
      <c r="Q37" s="2"/>
      <c r="R37" s="2"/>
      <c r="S37" s="2"/>
      <c r="T37" s="2"/>
      <c r="U37" s="2"/>
      <c r="V37" s="2"/>
      <c r="W37" s="2"/>
      <c r="X37" s="2"/>
      <c r="Y37" s="2"/>
      <c r="Z37" s="2"/>
    </row>
    <row r="38" ht="15.75" customHeight="1">
      <c r="A38" s="1" t="s">
        <v>211</v>
      </c>
      <c r="B38" s="1">
        <v>73.0</v>
      </c>
      <c r="C38" s="1">
        <v>69.0</v>
      </c>
      <c r="D38" s="1">
        <v>61.0</v>
      </c>
      <c r="E38" s="1">
        <v>55.0</v>
      </c>
      <c r="F38" s="1">
        <v>59.0</v>
      </c>
      <c r="G38" s="1">
        <v>62.0</v>
      </c>
      <c r="H38" s="1">
        <v>63.0</v>
      </c>
      <c r="I38" s="1">
        <v>60.0</v>
      </c>
      <c r="J38" s="1">
        <v>54.0</v>
      </c>
      <c r="K38" s="1">
        <v>53.0</v>
      </c>
      <c r="L38" s="2"/>
      <c r="M38" s="2"/>
      <c r="N38" s="2"/>
      <c r="O38" s="2"/>
      <c r="P38" s="2"/>
      <c r="Q38" s="2"/>
      <c r="R38" s="2"/>
      <c r="S38" s="2"/>
      <c r="T38" s="2"/>
      <c r="U38" s="2"/>
      <c r="V38" s="2"/>
      <c r="W38" s="2"/>
      <c r="X38" s="2"/>
      <c r="Y38" s="2"/>
      <c r="Z38" s="2"/>
    </row>
    <row r="39" ht="15.75" customHeight="1">
      <c r="A39" s="1" t="s">
        <v>212</v>
      </c>
      <c r="B39" s="1" t="s">
        <v>199</v>
      </c>
      <c r="C39" s="1" t="s">
        <v>213</v>
      </c>
      <c r="D39" s="1" t="s">
        <v>214</v>
      </c>
      <c r="E39" s="1" t="s">
        <v>207</v>
      </c>
      <c r="F39" s="1" t="s">
        <v>215</v>
      </c>
      <c r="G39" s="1" t="s">
        <v>216</v>
      </c>
      <c r="H39" s="1" t="s">
        <v>217</v>
      </c>
      <c r="I39" s="1" t="s">
        <v>218</v>
      </c>
      <c r="J39" s="1" t="s">
        <v>219</v>
      </c>
      <c r="K39" s="1" t="s">
        <v>220</v>
      </c>
      <c r="L39" s="2"/>
      <c r="M39" s="2"/>
      <c r="N39" s="2"/>
      <c r="O39" s="2"/>
      <c r="P39" s="2"/>
      <c r="Q39" s="2"/>
      <c r="R39" s="2"/>
      <c r="S39" s="2"/>
      <c r="T39" s="2"/>
      <c r="U39" s="2"/>
      <c r="V39" s="2"/>
      <c r="W39" s="2"/>
      <c r="X39" s="2"/>
      <c r="Y39" s="2"/>
      <c r="Z39" s="2"/>
    </row>
    <row r="40" ht="15.75" customHeight="1">
      <c r="A40" s="1" t="s">
        <v>221</v>
      </c>
      <c r="B40" s="1" t="s">
        <v>222</v>
      </c>
      <c r="C40" s="1" t="s">
        <v>223</v>
      </c>
      <c r="D40" s="1" t="s">
        <v>224</v>
      </c>
      <c r="E40" s="1" t="s">
        <v>225</v>
      </c>
      <c r="F40" s="1" t="s">
        <v>226</v>
      </c>
      <c r="G40" s="1" t="s">
        <v>227</v>
      </c>
      <c r="H40" s="1" t="s">
        <v>228</v>
      </c>
      <c r="I40" s="1" t="s">
        <v>229</v>
      </c>
      <c r="J40" s="1" t="s">
        <v>230</v>
      </c>
      <c r="K40" s="1" t="s">
        <v>231</v>
      </c>
      <c r="L40" s="2"/>
      <c r="M40" s="2"/>
      <c r="N40" s="2"/>
      <c r="O40" s="2"/>
      <c r="P40" s="2"/>
      <c r="Q40" s="2"/>
      <c r="R40" s="2"/>
      <c r="S40" s="2"/>
      <c r="T40" s="2"/>
      <c r="U40" s="2"/>
      <c r="V40" s="2"/>
      <c r="W40" s="2"/>
      <c r="X40" s="2"/>
      <c r="Y40" s="2"/>
      <c r="Z40" s="2"/>
    </row>
    <row r="41" ht="15.75" customHeight="1">
      <c r="A41" s="1" t="s">
        <v>232</v>
      </c>
      <c r="B41" s="1" t="s">
        <v>233</v>
      </c>
      <c r="C41" s="1" t="s">
        <v>234</v>
      </c>
      <c r="D41" s="1" t="s">
        <v>235</v>
      </c>
      <c r="E41" s="1" t="s">
        <v>236</v>
      </c>
      <c r="F41" s="1" t="s">
        <v>237</v>
      </c>
      <c r="G41" s="1" t="s">
        <v>238</v>
      </c>
      <c r="H41" s="1" t="s">
        <v>239</v>
      </c>
      <c r="I41" s="1" t="s">
        <v>240</v>
      </c>
      <c r="J41" s="1" t="s">
        <v>241</v>
      </c>
      <c r="K41" s="1" t="s">
        <v>242</v>
      </c>
      <c r="L41" s="2"/>
      <c r="M41" s="2"/>
      <c r="N41" s="2"/>
      <c r="O41" s="2"/>
      <c r="P41" s="2"/>
      <c r="Q41" s="2"/>
      <c r="R41" s="2"/>
      <c r="S41" s="2"/>
      <c r="T41" s="2"/>
      <c r="U41" s="2"/>
      <c r="V41" s="2"/>
      <c r="W41" s="2"/>
      <c r="X41" s="2"/>
      <c r="Y41" s="2"/>
      <c r="Z41" s="2"/>
    </row>
    <row r="42" ht="15.75" customHeight="1">
      <c r="A42" s="1" t="s">
        <v>243</v>
      </c>
      <c r="B42" s="1" t="s">
        <v>244</v>
      </c>
      <c r="C42" s="1" t="s">
        <v>245</v>
      </c>
      <c r="D42" s="1" t="s">
        <v>246</v>
      </c>
      <c r="E42" s="1" t="s">
        <v>247</v>
      </c>
      <c r="F42" s="1" t="s">
        <v>248</v>
      </c>
      <c r="G42" s="1" t="s">
        <v>249</v>
      </c>
      <c r="H42" s="1" t="s">
        <v>250</v>
      </c>
      <c r="I42" s="1" t="s">
        <v>251</v>
      </c>
      <c r="J42" s="1" t="s">
        <v>252</v>
      </c>
      <c r="K42" s="1" t="s">
        <v>253</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254</v>
      </c>
      <c r="B44" s="1">
        <v>935.0</v>
      </c>
      <c r="C44" s="1">
        <v>393.0</v>
      </c>
      <c r="D44" s="1">
        <v>1040.0</v>
      </c>
      <c r="E44" s="1">
        <v>610.0</v>
      </c>
      <c r="F44" s="1">
        <v>642.0</v>
      </c>
      <c r="G44" s="1">
        <v>866.0</v>
      </c>
      <c r="H44" s="1">
        <v>918.0</v>
      </c>
      <c r="I44" s="1">
        <v>1090.0</v>
      </c>
      <c r="J44" s="1">
        <v>702.0</v>
      </c>
      <c r="K44" s="1">
        <v>1150.0</v>
      </c>
      <c r="L44" s="2"/>
      <c r="M44" s="2"/>
      <c r="N44" s="2"/>
      <c r="O44" s="2"/>
      <c r="P44" s="2"/>
      <c r="Q44" s="2"/>
      <c r="R44" s="2"/>
      <c r="S44" s="2"/>
      <c r="T44" s="2"/>
      <c r="U44" s="2"/>
      <c r="V44" s="2"/>
      <c r="W44" s="2"/>
      <c r="X44" s="2"/>
      <c r="Y44" s="2"/>
      <c r="Z44" s="2"/>
    </row>
    <row r="45" ht="15.75" customHeight="1">
      <c r="A45" s="1" t="s">
        <v>255</v>
      </c>
      <c r="B45" s="1">
        <v>866.0</v>
      </c>
      <c r="C45" s="1">
        <v>328.0</v>
      </c>
      <c r="D45" s="1">
        <v>961.0</v>
      </c>
      <c r="E45" s="1">
        <v>567.0</v>
      </c>
      <c r="F45" s="1">
        <v>593.0</v>
      </c>
      <c r="G45" s="1">
        <v>802.0</v>
      </c>
      <c r="H45" s="1">
        <v>848.0</v>
      </c>
      <c r="I45" s="1">
        <v>1010.0</v>
      </c>
      <c r="J45" s="1">
        <v>614.0</v>
      </c>
      <c r="K45" s="1">
        <v>1050.0</v>
      </c>
      <c r="L45" s="2"/>
      <c r="M45" s="2"/>
      <c r="N45" s="2"/>
      <c r="O45" s="2"/>
      <c r="P45" s="2"/>
      <c r="Q45" s="2"/>
      <c r="R45" s="2"/>
      <c r="S45" s="2"/>
      <c r="T45" s="2"/>
      <c r="U45" s="2"/>
      <c r="V45" s="2"/>
      <c r="W45" s="2"/>
      <c r="X45" s="2"/>
      <c r="Y45" s="2"/>
      <c r="Z45" s="2"/>
    </row>
    <row r="46" ht="15.75" customHeight="1">
      <c r="A46" s="1" t="s">
        <v>256</v>
      </c>
      <c r="B46" s="1">
        <v>803.0</v>
      </c>
      <c r="C46" s="1">
        <v>256.0</v>
      </c>
      <c r="D46" s="1">
        <v>916.0</v>
      </c>
      <c r="E46" s="1">
        <v>494.0</v>
      </c>
      <c r="F46" s="1">
        <v>515.0</v>
      </c>
      <c r="G46" s="1">
        <v>740.0</v>
      </c>
      <c r="H46" s="1">
        <v>774.0</v>
      </c>
      <c r="I46" s="1">
        <v>917.0</v>
      </c>
      <c r="J46" s="1">
        <v>520.0</v>
      </c>
      <c r="K46" s="1">
        <v>949.0</v>
      </c>
      <c r="L46" s="2"/>
      <c r="M46" s="2"/>
      <c r="N46" s="2"/>
      <c r="O46" s="2"/>
      <c r="P46" s="2"/>
      <c r="Q46" s="2"/>
      <c r="R46" s="2"/>
      <c r="S46" s="2"/>
      <c r="T46" s="2"/>
      <c r="U46" s="2"/>
      <c r="V46" s="2"/>
      <c r="W46" s="2"/>
      <c r="X46" s="2"/>
      <c r="Y46" s="2"/>
      <c r="Z46" s="2"/>
    </row>
    <row r="47" ht="15.75" customHeight="1">
      <c r="A47" s="1" t="s">
        <v>257</v>
      </c>
      <c r="B47" s="1">
        <v>964.0</v>
      </c>
      <c r="C47" s="1">
        <v>423.0</v>
      </c>
      <c r="D47" s="1">
        <v>1060.0</v>
      </c>
      <c r="E47" s="1">
        <v>628.0</v>
      </c>
      <c r="F47" s="1">
        <v>669.0</v>
      </c>
      <c r="G47" s="1">
        <v>892.0</v>
      </c>
      <c r="H47" s="1">
        <v>945.0</v>
      </c>
      <c r="I47" s="1">
        <v>1110.0</v>
      </c>
      <c r="J47" s="1">
        <v>722.0</v>
      </c>
      <c r="K47" s="1">
        <v>1170.0</v>
      </c>
      <c r="L47" s="2"/>
      <c r="M47" s="2"/>
      <c r="N47" s="2"/>
      <c r="O47" s="2"/>
      <c r="P47" s="2"/>
      <c r="Q47" s="2"/>
      <c r="R47" s="2"/>
      <c r="S47" s="2"/>
      <c r="T47" s="2"/>
      <c r="U47" s="2"/>
      <c r="V47" s="2"/>
      <c r="W47" s="2"/>
      <c r="X47" s="2"/>
      <c r="Y47" s="2"/>
      <c r="Z47" s="2"/>
    </row>
    <row r="48" ht="15.75" customHeight="1">
      <c r="A48" s="1" t="s">
        <v>258</v>
      </c>
      <c r="B48" s="1">
        <v>10380.0</v>
      </c>
      <c r="C48" s="1">
        <v>10330.0</v>
      </c>
      <c r="D48" s="1">
        <v>7530.0</v>
      </c>
      <c r="E48" s="1">
        <v>6420.0</v>
      </c>
      <c r="F48" s="1">
        <v>8060.0</v>
      </c>
      <c r="G48" s="1">
        <v>10090.0</v>
      </c>
      <c r="H48" s="1">
        <v>10090.0</v>
      </c>
      <c r="I48" s="1">
        <v>10190.0</v>
      </c>
      <c r="J48" s="1">
        <v>10190.0</v>
      </c>
      <c r="K48" s="1">
        <v>11130.0</v>
      </c>
      <c r="L48" s="2"/>
      <c r="M48" s="2"/>
      <c r="N48" s="2"/>
      <c r="O48" s="2"/>
      <c r="P48" s="2"/>
      <c r="Q48" s="2"/>
      <c r="R48" s="2"/>
      <c r="S48" s="2"/>
      <c r="T48" s="2"/>
      <c r="U48" s="2"/>
      <c r="V48" s="2"/>
      <c r="W48" s="2"/>
      <c r="X48" s="2"/>
      <c r="Y48" s="2"/>
      <c r="Z48" s="2"/>
    </row>
    <row r="49" ht="15.75" customHeight="1">
      <c r="A49" s="1" t="s">
        <v>259</v>
      </c>
      <c r="B49" s="1" t="s">
        <v>260</v>
      </c>
      <c r="C49" s="1" t="s">
        <v>261</v>
      </c>
      <c r="D49" s="1" t="s">
        <v>262</v>
      </c>
      <c r="E49" s="1" t="s">
        <v>263</v>
      </c>
      <c r="F49" s="1" t="s">
        <v>264</v>
      </c>
      <c r="G49" s="1" t="s">
        <v>265</v>
      </c>
      <c r="H49" s="1" t="s">
        <v>266</v>
      </c>
      <c r="I49" s="1" t="s">
        <v>267</v>
      </c>
      <c r="J49" s="1" t="s">
        <v>268</v>
      </c>
      <c r="K49" s="1" t="s">
        <v>269</v>
      </c>
      <c r="L49" s="2"/>
      <c r="M49" s="2"/>
      <c r="N49" s="2"/>
      <c r="O49" s="2"/>
      <c r="P49" s="2"/>
      <c r="Q49" s="2"/>
      <c r="R49" s="2"/>
      <c r="S49" s="2"/>
      <c r="T49" s="2"/>
      <c r="U49" s="2"/>
      <c r="V49" s="2"/>
      <c r="W49" s="2"/>
      <c r="X49" s="2"/>
      <c r="Y49" s="2"/>
      <c r="Z49" s="2"/>
    </row>
    <row r="50" ht="15.75" customHeight="1">
      <c r="A50" s="1" t="s">
        <v>270</v>
      </c>
      <c r="B50" s="1">
        <v>162.0</v>
      </c>
      <c r="C50" s="1">
        <v>40.0</v>
      </c>
      <c r="D50" s="1">
        <v>240.0</v>
      </c>
      <c r="E50" s="1">
        <v>-112.0</v>
      </c>
      <c r="F50" s="1">
        <v>5.0</v>
      </c>
      <c r="G50" s="1">
        <v>19.0</v>
      </c>
      <c r="H50" s="1">
        <v>-164.0</v>
      </c>
      <c r="I50" s="1">
        <v>1.0</v>
      </c>
      <c r="J50" s="1">
        <v>-23.0</v>
      </c>
      <c r="K50" s="1">
        <v>221.0</v>
      </c>
      <c r="L50" s="2"/>
      <c r="M50" s="2"/>
      <c r="N50" s="2"/>
      <c r="O50" s="2"/>
      <c r="P50" s="2"/>
      <c r="Q50" s="2"/>
      <c r="R50" s="2"/>
      <c r="S50" s="2"/>
      <c r="T50" s="2"/>
      <c r="U50" s="2"/>
      <c r="V50" s="2"/>
      <c r="W50" s="2"/>
      <c r="X50" s="2"/>
      <c r="Y50" s="2"/>
      <c r="Z50" s="2"/>
    </row>
    <row r="51" ht="15.75" customHeight="1">
      <c r="A51" s="1" t="s">
        <v>271</v>
      </c>
      <c r="B51" s="1">
        <v>46.0</v>
      </c>
      <c r="C51" s="1">
        <v>22.0</v>
      </c>
      <c r="D51" s="1">
        <v>18.0</v>
      </c>
      <c r="E51" s="1">
        <v>41.0</v>
      </c>
      <c r="F51" s="1">
        <v>53.0</v>
      </c>
      <c r="G51" s="1">
        <v>58.0</v>
      </c>
      <c r="H51" s="1">
        <v>45.0</v>
      </c>
      <c r="I51" s="1">
        <v>36.0</v>
      </c>
      <c r="J51" s="1">
        <v>33.0</v>
      </c>
      <c r="K51" s="1">
        <v>51.0</v>
      </c>
      <c r="L51" s="2"/>
      <c r="M51" s="2"/>
      <c r="N51" s="2"/>
      <c r="O51" s="2"/>
      <c r="P51" s="2"/>
      <c r="Q51" s="2"/>
      <c r="R51" s="2"/>
      <c r="S51" s="2"/>
      <c r="T51" s="2"/>
      <c r="U51" s="2"/>
      <c r="V51" s="2"/>
      <c r="W51" s="2"/>
      <c r="X51" s="2"/>
      <c r="Y51" s="2"/>
      <c r="Z51" s="2"/>
    </row>
    <row r="52" ht="15.75" customHeight="1">
      <c r="A52" s="1" t="s">
        <v>272</v>
      </c>
      <c r="B52" s="1">
        <v>209.0</v>
      </c>
      <c r="C52" s="1">
        <v>63.0</v>
      </c>
      <c r="D52" s="1">
        <v>258.0</v>
      </c>
      <c r="E52" s="1">
        <v>-70.0</v>
      </c>
      <c r="F52" s="1">
        <v>59.0</v>
      </c>
      <c r="G52" s="1">
        <v>78.0</v>
      </c>
      <c r="H52" s="1">
        <v>-119.0</v>
      </c>
      <c r="I52" s="1">
        <v>37.0</v>
      </c>
      <c r="J52" s="1">
        <v>9.0</v>
      </c>
      <c r="K52" s="1">
        <v>273.0</v>
      </c>
      <c r="L52" s="2"/>
      <c r="M52" s="2"/>
      <c r="N52" s="2"/>
      <c r="O52" s="2"/>
      <c r="P52" s="2"/>
      <c r="Q52" s="2"/>
      <c r="R52" s="2"/>
      <c r="S52" s="2"/>
      <c r="T52" s="2"/>
      <c r="U52" s="2"/>
      <c r="V52" s="2"/>
      <c r="W52" s="2"/>
      <c r="X52" s="2"/>
      <c r="Y52" s="2"/>
      <c r="Z52" s="2"/>
    </row>
    <row r="53" ht="15.75" customHeight="1">
      <c r="A53" s="1" t="s">
        <v>273</v>
      </c>
      <c r="B53" s="1">
        <v>72.0</v>
      </c>
      <c r="C53" s="1">
        <v>17.0</v>
      </c>
      <c r="D53" s="1">
        <v>19.0</v>
      </c>
      <c r="E53" s="1">
        <v>8.0</v>
      </c>
      <c r="F53" s="1">
        <v>31.0</v>
      </c>
      <c r="G53" s="1">
        <v>92.0</v>
      </c>
      <c r="H53" s="1">
        <v>185.0</v>
      </c>
      <c r="I53" s="1">
        <v>123.0</v>
      </c>
      <c r="J53" s="1">
        <v>65.0</v>
      </c>
      <c r="K53" s="1">
        <v>-80.0</v>
      </c>
      <c r="L53" s="2"/>
      <c r="M53" s="2"/>
      <c r="N53" s="2"/>
      <c r="O53" s="2"/>
      <c r="P53" s="2"/>
      <c r="Q53" s="2"/>
      <c r="R53" s="2"/>
      <c r="S53" s="2"/>
      <c r="T53" s="2"/>
      <c r="U53" s="2"/>
      <c r="V53" s="2"/>
      <c r="W53" s="2"/>
      <c r="X53" s="2"/>
      <c r="Y53" s="2"/>
      <c r="Z53" s="2"/>
    </row>
    <row r="54" ht="15.75" customHeight="1">
      <c r="A54" s="1" t="s">
        <v>274</v>
      </c>
      <c r="B54" s="1">
        <v>-8.0</v>
      </c>
      <c r="C54" s="1">
        <v>-4.0</v>
      </c>
      <c r="D54" s="1">
        <v>5.0</v>
      </c>
      <c r="E54" s="1">
        <v>-12.0</v>
      </c>
      <c r="F54" s="1">
        <v>-9.0</v>
      </c>
      <c r="G54" s="1">
        <v>-2.0</v>
      </c>
      <c r="H54" s="1">
        <v>6.0</v>
      </c>
      <c r="I54" s="1">
        <v>8.0</v>
      </c>
      <c r="J54" s="1">
        <v>-1.0</v>
      </c>
      <c r="K54" s="1">
        <v>-28.0</v>
      </c>
      <c r="L54" s="2"/>
      <c r="M54" s="2"/>
      <c r="N54" s="2"/>
      <c r="O54" s="2"/>
      <c r="P54" s="2"/>
      <c r="Q54" s="2"/>
      <c r="R54" s="2"/>
      <c r="S54" s="2"/>
      <c r="T54" s="2"/>
      <c r="U54" s="2"/>
      <c r="V54" s="2"/>
      <c r="W54" s="2"/>
      <c r="X54" s="2"/>
      <c r="Y54" s="2"/>
      <c r="Z54" s="2"/>
    </row>
    <row r="55" ht="15.75" customHeight="1">
      <c r="A55" s="1" t="s">
        <v>275</v>
      </c>
      <c r="B55" s="1">
        <v>64.0</v>
      </c>
      <c r="C55" s="1">
        <v>-3.0</v>
      </c>
      <c r="D55" s="1">
        <v>25.0</v>
      </c>
      <c r="E55" s="1">
        <v>-4.0</v>
      </c>
      <c r="F55" s="1">
        <v>21.0</v>
      </c>
      <c r="G55" s="1">
        <v>89.0</v>
      </c>
      <c r="H55" s="1">
        <v>192.0</v>
      </c>
      <c r="I55" s="1">
        <v>132.0</v>
      </c>
      <c r="J55" s="1">
        <v>63.0</v>
      </c>
      <c r="K55" s="1">
        <v>-108.0</v>
      </c>
      <c r="L55" s="2"/>
      <c r="M55" s="2"/>
      <c r="N55" s="2"/>
      <c r="O55" s="2"/>
      <c r="P55" s="2"/>
      <c r="Q55" s="2"/>
      <c r="R55" s="2"/>
      <c r="S55" s="2"/>
      <c r="T55" s="2"/>
      <c r="U55" s="2"/>
      <c r="V55" s="2"/>
      <c r="W55" s="2"/>
      <c r="X55" s="2"/>
      <c r="Y55" s="2"/>
      <c r="Z55" s="2"/>
    </row>
    <row r="56" ht="15.75" customHeight="1">
      <c r="A56" s="1" t="s">
        <v>276</v>
      </c>
      <c r="B56" s="1">
        <v>465.0</v>
      </c>
      <c r="C56" s="1">
        <v>126.0</v>
      </c>
      <c r="D56" s="1">
        <v>537.0</v>
      </c>
      <c r="E56" s="1">
        <v>278.0</v>
      </c>
      <c r="F56" s="1">
        <v>258.0</v>
      </c>
      <c r="G56" s="1">
        <v>389.0</v>
      </c>
      <c r="H56" s="1">
        <v>417.0</v>
      </c>
      <c r="I56" s="1">
        <v>503.0</v>
      </c>
      <c r="J56" s="1">
        <v>257.0</v>
      </c>
      <c r="K56" s="1">
        <v>526.0</v>
      </c>
      <c r="L56" s="2"/>
      <c r="M56" s="2"/>
      <c r="N56" s="2"/>
      <c r="O56" s="2"/>
      <c r="P56" s="2"/>
      <c r="Q56" s="2"/>
      <c r="R56" s="2"/>
      <c r="S56" s="2"/>
      <c r="T56" s="2"/>
      <c r="U56" s="2"/>
      <c r="V56" s="2"/>
      <c r="W56" s="2"/>
      <c r="X56" s="2"/>
      <c r="Y56" s="2"/>
      <c r="Z56" s="2"/>
    </row>
    <row r="57" ht="15.75" customHeight="1">
      <c r="A57" s="1" t="s">
        <v>277</v>
      </c>
      <c r="B57" s="1">
        <v>58.0</v>
      </c>
      <c r="C57" s="1">
        <v>55.0</v>
      </c>
      <c r="D57" s="1">
        <v>55.0</v>
      </c>
      <c r="E57" s="1">
        <v>49.0</v>
      </c>
      <c r="F57" s="1">
        <v>100.0</v>
      </c>
      <c r="G57" s="1">
        <v>111.0</v>
      </c>
      <c r="H57" s="1">
        <v>104.0</v>
      </c>
      <c r="I57" s="1">
        <v>112.0</v>
      </c>
      <c r="J57" s="1">
        <v>108.0</v>
      </c>
      <c r="K57" s="1">
        <v>108.0</v>
      </c>
      <c r="L57" s="2"/>
      <c r="M57" s="2"/>
      <c r="N57" s="2"/>
      <c r="O57" s="2"/>
      <c r="P57" s="2"/>
      <c r="Q57" s="2"/>
      <c r="R57" s="2"/>
      <c r="S57" s="2"/>
      <c r="T57" s="2"/>
      <c r="U57" s="2"/>
      <c r="V57" s="2"/>
      <c r="W57" s="2"/>
      <c r="X57" s="2"/>
      <c r="Y57" s="2"/>
      <c r="Z57" s="2"/>
    </row>
    <row r="58" ht="15.75" customHeight="1">
      <c r="A58" s="1" t="s">
        <v>278</v>
      </c>
      <c r="B58" s="1">
        <v>7.0</v>
      </c>
      <c r="C58" s="1">
        <v>6.0</v>
      </c>
      <c r="D58" s="1">
        <v>-42.0</v>
      </c>
      <c r="E58" s="1">
        <v>-21.0</v>
      </c>
      <c r="F58" s="1">
        <v>-6.0</v>
      </c>
      <c r="G58" s="1">
        <v>-5.0</v>
      </c>
      <c r="H58" s="1">
        <v>-2.0</v>
      </c>
      <c r="I58" s="1">
        <v>-1.0</v>
      </c>
      <c r="J58" s="1">
        <v>-2.0</v>
      </c>
      <c r="K58" s="1">
        <v>-9.0</v>
      </c>
      <c r="L58" s="2"/>
      <c r="M58" s="2"/>
      <c r="N58" s="2"/>
      <c r="O58" s="2"/>
      <c r="P58" s="2"/>
      <c r="Q58" s="2"/>
      <c r="R58" s="2"/>
      <c r="S58" s="2"/>
      <c r="T58" s="2"/>
      <c r="U58" s="2"/>
      <c r="V58" s="2"/>
      <c r="W58" s="2"/>
      <c r="X58" s="2"/>
      <c r="Y58" s="2"/>
      <c r="Z58" s="2"/>
    </row>
    <row r="59" ht="15.75" customHeight="1">
      <c r="A59" s="1" t="s">
        <v>279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280</v>
      </c>
      <c r="B60" s="1">
        <v>29.0</v>
      </c>
      <c r="C60" s="1">
        <v>29.0</v>
      </c>
      <c r="D60" s="1">
        <v>20.0</v>
      </c>
      <c r="E60" s="1">
        <v>17.0</v>
      </c>
      <c r="F60" s="1">
        <v>26.0</v>
      </c>
      <c r="G60" s="1">
        <v>26.0</v>
      </c>
      <c r="H60" s="1">
        <v>27.0</v>
      </c>
      <c r="I60" s="1">
        <v>26.0</v>
      </c>
      <c r="J60" s="1">
        <v>19.0</v>
      </c>
      <c r="K60" s="1">
        <v>20.0</v>
      </c>
      <c r="L60" s="2"/>
      <c r="M60" s="2"/>
      <c r="N60" s="2"/>
      <c r="O60" s="2"/>
      <c r="P60" s="2"/>
      <c r="Q60" s="2"/>
      <c r="R60" s="2"/>
      <c r="S60" s="2"/>
      <c r="T60" s="2"/>
      <c r="U60" s="2"/>
      <c r="V60" s="2"/>
      <c r="W60" s="2"/>
      <c r="X60" s="2"/>
      <c r="Y60" s="2"/>
      <c r="Z60" s="2"/>
    </row>
    <row r="61" ht="15.75" customHeight="1">
      <c r="A61" s="1" t="s">
        <v>281</v>
      </c>
      <c r="B61" s="1">
        <v>9.0</v>
      </c>
      <c r="C61" s="1">
        <v>10.0</v>
      </c>
      <c r="D61" s="1">
        <v>8.0</v>
      </c>
      <c r="E61" s="1">
        <v>5.0</v>
      </c>
      <c r="F61" s="1">
        <v>8.0</v>
      </c>
      <c r="G61" s="1">
        <v>6.0</v>
      </c>
      <c r="H61" s="1">
        <v>7.0</v>
      </c>
      <c r="I61" s="1">
        <v>10.0</v>
      </c>
      <c r="J61" s="1">
        <v>7.0</v>
      </c>
      <c r="K61" s="1">
        <v>8.0</v>
      </c>
      <c r="L61" s="2"/>
      <c r="M61" s="2"/>
      <c r="N61" s="2"/>
      <c r="O61" s="2"/>
      <c r="P61" s="2"/>
      <c r="Q61" s="2"/>
      <c r="R61" s="2"/>
      <c r="S61" s="2"/>
      <c r="T61" s="2"/>
      <c r="U61" s="2"/>
      <c r="V61" s="2"/>
      <c r="W61" s="2"/>
      <c r="X61" s="2"/>
      <c r="Y61" s="2"/>
      <c r="Z61" s="2"/>
    </row>
    <row r="62" ht="15.75" customHeight="1">
      <c r="A62" s="1" t="s">
        <v>282</v>
      </c>
      <c r="B62" s="1">
        <v>20.0</v>
      </c>
      <c r="C62" s="1">
        <v>18.0</v>
      </c>
      <c r="D62" s="1">
        <v>12.0</v>
      </c>
      <c r="E62" s="1">
        <v>12.0</v>
      </c>
      <c r="F62" s="1">
        <v>17.0</v>
      </c>
      <c r="G62" s="1">
        <v>19.0</v>
      </c>
      <c r="H62" s="1">
        <v>19.0</v>
      </c>
      <c r="I62" s="1">
        <v>15.0</v>
      </c>
      <c r="J62" s="1">
        <v>11.0</v>
      </c>
      <c r="K62" s="1">
        <v>12.0</v>
      </c>
      <c r="L62" s="2"/>
      <c r="M62" s="2"/>
      <c r="N62" s="2"/>
      <c r="O62" s="2"/>
      <c r="P62" s="2"/>
      <c r="Q62" s="2"/>
      <c r="R62" s="2"/>
      <c r="S62" s="2"/>
      <c r="T62" s="2"/>
      <c r="U62" s="2"/>
      <c r="V62" s="2"/>
      <c r="W62" s="2"/>
      <c r="X62" s="2"/>
      <c r="Y62" s="2"/>
      <c r="Z62" s="2"/>
    </row>
    <row r="63" ht="15.75" customHeight="1">
      <c r="A63" s="1" t="s">
        <v>283</v>
      </c>
      <c r="B63" s="1">
        <v>49.0</v>
      </c>
      <c r="C63" s="1">
        <v>38.0</v>
      </c>
      <c r="D63" s="1">
        <v>41.0</v>
      </c>
      <c r="E63" s="1">
        <v>35.0</v>
      </c>
      <c r="F63" s="1">
        <v>57.0</v>
      </c>
      <c r="G63" s="1">
        <v>55.0</v>
      </c>
      <c r="H63" s="1">
        <v>57.0</v>
      </c>
      <c r="I63" s="1">
        <v>66.0</v>
      </c>
      <c r="J63" s="1">
        <v>62.0</v>
      </c>
      <c r="K63" s="1">
        <v>75.0</v>
      </c>
      <c r="L63" s="2"/>
      <c r="M63" s="2"/>
      <c r="N63" s="2"/>
      <c r="O63" s="2"/>
      <c r="P63" s="2"/>
      <c r="Q63" s="2"/>
      <c r="R63" s="2"/>
      <c r="S63" s="2"/>
      <c r="T63" s="2"/>
      <c r="U63" s="2"/>
      <c r="V63" s="2"/>
      <c r="W63" s="2"/>
      <c r="X63" s="2"/>
      <c r="Y63" s="2"/>
      <c r="Z63" s="2"/>
    </row>
    <row r="64" ht="15.75" customHeight="1">
      <c r="A64" s="1" t="s">
        <v>284</v>
      </c>
      <c r="B64" s="1">
        <v>49.0</v>
      </c>
      <c r="C64" s="1">
        <v>38.0</v>
      </c>
      <c r="D64" s="1">
        <v>41.0</v>
      </c>
      <c r="E64" s="1">
        <v>35.0</v>
      </c>
      <c r="F64" s="1">
        <v>57.0</v>
      </c>
      <c r="G64" s="1">
        <v>55.0</v>
      </c>
      <c r="H64" s="1">
        <v>57.0</v>
      </c>
      <c r="I64" s="1">
        <v>66.0</v>
      </c>
      <c r="J64" s="1">
        <v>62.0</v>
      </c>
      <c r="K64" s="1">
        <v>75.0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285</v>
      </c>
      <c r="B2" s="2"/>
      <c r="C2" s="2"/>
      <c r="D2" s="2"/>
      <c r="E2" s="2"/>
      <c r="F2" s="2"/>
      <c r="G2" s="2"/>
      <c r="H2" s="2"/>
      <c r="I2" s="2"/>
      <c r="J2" s="2"/>
      <c r="K2" s="2"/>
      <c r="L2" s="2"/>
      <c r="M2" s="2"/>
      <c r="N2" s="2"/>
      <c r="O2" s="2"/>
      <c r="P2" s="2"/>
      <c r="Q2" s="2"/>
      <c r="R2" s="2"/>
      <c r="S2" s="2"/>
      <c r="T2" s="2"/>
      <c r="U2" s="2"/>
      <c r="V2" s="2"/>
      <c r="W2" s="2"/>
      <c r="X2" s="2"/>
      <c r="Y2" s="2"/>
      <c r="Z2" s="2"/>
    </row>
    <row r="3">
      <c r="A3" s="1" t="s">
        <v>286</v>
      </c>
      <c r="B3" s="1" t="s">
        <v>287</v>
      </c>
      <c r="C3" s="1" t="s">
        <v>288</v>
      </c>
      <c r="D3" s="1" t="s">
        <v>289</v>
      </c>
      <c r="E3" s="1">
        <v>1.0</v>
      </c>
      <c r="F3" s="1" t="s">
        <v>290</v>
      </c>
      <c r="G3" s="1" t="s">
        <v>291</v>
      </c>
      <c r="H3" s="1" t="s">
        <v>292</v>
      </c>
      <c r="I3" s="1" t="s">
        <v>293</v>
      </c>
      <c r="J3" s="1" t="s">
        <v>294</v>
      </c>
      <c r="K3" s="1" t="s">
        <v>295</v>
      </c>
      <c r="L3" s="2"/>
      <c r="M3" s="2"/>
      <c r="N3" s="2"/>
      <c r="O3" s="2"/>
      <c r="P3" s="2"/>
      <c r="Q3" s="2"/>
      <c r="R3" s="2"/>
      <c r="S3" s="2"/>
      <c r="T3" s="2"/>
      <c r="U3" s="2"/>
      <c r="V3" s="2"/>
      <c r="W3" s="2"/>
      <c r="X3" s="2"/>
      <c r="Y3" s="2"/>
      <c r="Z3" s="2"/>
    </row>
    <row r="4">
      <c r="A4" s="1" t="s">
        <v>296</v>
      </c>
      <c r="B4" s="1" t="s">
        <v>297</v>
      </c>
      <c r="C4" s="1" t="s">
        <v>298</v>
      </c>
      <c r="D4" s="1" t="s">
        <v>299</v>
      </c>
      <c r="E4" s="1" t="s">
        <v>300</v>
      </c>
      <c r="F4" s="1" t="s">
        <v>301</v>
      </c>
      <c r="G4" s="1" t="s">
        <v>302</v>
      </c>
      <c r="H4" s="1" t="s">
        <v>303</v>
      </c>
      <c r="I4" s="1" t="s">
        <v>304</v>
      </c>
      <c r="J4" s="1" t="s">
        <v>305</v>
      </c>
      <c r="K4" s="1" t="s">
        <v>306</v>
      </c>
      <c r="L4" s="2"/>
      <c r="M4" s="2"/>
      <c r="N4" s="2"/>
      <c r="O4" s="2"/>
      <c r="P4" s="2"/>
      <c r="Q4" s="2"/>
      <c r="R4" s="2"/>
      <c r="S4" s="2"/>
      <c r="T4" s="2"/>
      <c r="U4" s="2"/>
      <c r="V4" s="2"/>
      <c r="W4" s="2"/>
      <c r="X4" s="2"/>
      <c r="Y4" s="2"/>
      <c r="Z4" s="2"/>
    </row>
    <row r="5">
      <c r="A5" s="1" t="s">
        <v>307</v>
      </c>
      <c r="B5" s="1" t="s">
        <v>308</v>
      </c>
      <c r="C5" s="1" t="s">
        <v>309</v>
      </c>
      <c r="D5" s="1" t="s">
        <v>310</v>
      </c>
      <c r="E5" s="1" t="s">
        <v>311</v>
      </c>
      <c r="F5" s="1" t="s">
        <v>312</v>
      </c>
      <c r="G5" s="1" t="s">
        <v>304</v>
      </c>
      <c r="H5" s="1" t="s">
        <v>313</v>
      </c>
      <c r="I5" s="1" t="s">
        <v>314</v>
      </c>
      <c r="J5" s="1" t="s">
        <v>315</v>
      </c>
      <c r="K5" s="1" t="s">
        <v>316</v>
      </c>
      <c r="L5" s="2"/>
      <c r="M5" s="2"/>
      <c r="N5" s="2"/>
      <c r="O5" s="2"/>
      <c r="P5" s="2"/>
      <c r="Q5" s="2"/>
      <c r="R5" s="2"/>
      <c r="S5" s="2"/>
      <c r="T5" s="2"/>
      <c r="U5" s="2"/>
      <c r="V5" s="2"/>
      <c r="W5" s="2"/>
      <c r="X5" s="2"/>
      <c r="Y5" s="2"/>
      <c r="Z5" s="2"/>
    </row>
    <row r="6">
      <c r="A6" s="1" t="s">
        <v>317</v>
      </c>
      <c r="B6" s="1" t="s">
        <v>308</v>
      </c>
      <c r="C6" s="1" t="s">
        <v>309</v>
      </c>
      <c r="D6" s="1" t="s">
        <v>310</v>
      </c>
      <c r="E6" s="1" t="s">
        <v>318</v>
      </c>
      <c r="F6" s="1" t="s">
        <v>207</v>
      </c>
      <c r="G6" s="1" t="s">
        <v>319</v>
      </c>
      <c r="H6" s="1" t="s">
        <v>320</v>
      </c>
      <c r="I6" s="1" t="s">
        <v>321</v>
      </c>
      <c r="J6" s="1" t="s">
        <v>315</v>
      </c>
      <c r="K6" s="1" t="s">
        <v>316</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v>0.0</v>
      </c>
      <c r="C9" s="1">
        <v>0.0</v>
      </c>
      <c r="D9" s="1">
        <v>0.0</v>
      </c>
      <c r="E9" s="1">
        <v>0.0</v>
      </c>
      <c r="F9" s="1">
        <v>0.0</v>
      </c>
      <c r="G9" s="1">
        <v>0.0</v>
      </c>
      <c r="H9" s="1">
        <v>0.0</v>
      </c>
      <c r="I9" s="1">
        <v>0.0</v>
      </c>
      <c r="J9" s="1" t="s">
        <v>335</v>
      </c>
      <c r="K9" s="1" t="s">
        <v>336</v>
      </c>
      <c r="L9" s="2"/>
      <c r="M9" s="2"/>
      <c r="N9" s="2"/>
      <c r="O9" s="2"/>
      <c r="P9" s="2"/>
      <c r="Q9" s="2"/>
      <c r="R9" s="2"/>
      <c r="S9" s="2"/>
      <c r="T9" s="2"/>
      <c r="U9" s="2"/>
      <c r="V9" s="2"/>
      <c r="W9" s="2"/>
      <c r="X9" s="2"/>
      <c r="Y9" s="2"/>
      <c r="Z9" s="2"/>
    </row>
    <row r="10">
      <c r="A10" s="1" t="s">
        <v>337</v>
      </c>
      <c r="B10" s="1">
        <v>9.0</v>
      </c>
      <c r="C10" s="1" t="s">
        <v>338</v>
      </c>
      <c r="D10" s="1" t="s">
        <v>339</v>
      </c>
      <c r="E10" s="1" t="s">
        <v>340</v>
      </c>
      <c r="F10" s="1" t="s">
        <v>341</v>
      </c>
      <c r="G10" s="1" t="s">
        <v>342</v>
      </c>
      <c r="H10" s="1" t="s">
        <v>343</v>
      </c>
      <c r="I10" s="1" t="s">
        <v>344</v>
      </c>
      <c r="J10" s="1" t="s">
        <v>345</v>
      </c>
      <c r="K10" s="1" t="s">
        <v>196</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329</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v>9.0</v>
      </c>
      <c r="J12" s="1" t="s">
        <v>364</v>
      </c>
      <c r="K12" s="1" t="s">
        <v>365</v>
      </c>
      <c r="L12" s="2"/>
      <c r="M12" s="2"/>
      <c r="N12" s="2"/>
      <c r="O12" s="2"/>
      <c r="P12" s="2"/>
      <c r="Q12" s="2"/>
      <c r="R12" s="2"/>
      <c r="S12" s="2"/>
      <c r="T12" s="2"/>
      <c r="U12" s="2"/>
      <c r="V12" s="2"/>
      <c r="W12" s="2"/>
      <c r="X12" s="2"/>
      <c r="Y12" s="2"/>
      <c r="Z12" s="2"/>
    </row>
    <row r="13">
      <c r="A13" s="1" t="s">
        <v>366</v>
      </c>
      <c r="B13" s="1" t="s">
        <v>367</v>
      </c>
      <c r="C13" s="1" t="s">
        <v>234</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367</v>
      </c>
      <c r="C14" s="1" t="s">
        <v>234</v>
      </c>
      <c r="D14" s="1" t="s">
        <v>368</v>
      </c>
      <c r="E14" s="1" t="s">
        <v>369</v>
      </c>
      <c r="F14" s="1" t="s">
        <v>377</v>
      </c>
      <c r="G14" s="1" t="s">
        <v>378</v>
      </c>
      <c r="H14" s="1" t="s">
        <v>379</v>
      </c>
      <c r="I14" s="1" t="s">
        <v>380</v>
      </c>
      <c r="J14" s="1" t="s">
        <v>374</v>
      </c>
      <c r="K14" s="1" t="s">
        <v>375</v>
      </c>
      <c r="L14" s="2"/>
      <c r="M14" s="2"/>
      <c r="N14" s="2"/>
      <c r="O14" s="2"/>
      <c r="P14" s="2"/>
      <c r="Q14" s="2"/>
      <c r="R14" s="2"/>
      <c r="S14" s="2"/>
      <c r="T14" s="2"/>
      <c r="U14" s="2"/>
      <c r="V14" s="2"/>
      <c r="W14" s="2"/>
      <c r="X14" s="2"/>
      <c r="Y14" s="2"/>
      <c r="Z14" s="2"/>
    </row>
    <row r="15">
      <c r="A15" s="1" t="s">
        <v>381</v>
      </c>
      <c r="B15" s="1" t="s">
        <v>367</v>
      </c>
      <c r="C15" s="1" t="s">
        <v>234</v>
      </c>
      <c r="D15" s="1" t="s">
        <v>368</v>
      </c>
      <c r="E15" s="1" t="s">
        <v>369</v>
      </c>
      <c r="F15" s="1" t="s">
        <v>382</v>
      </c>
      <c r="G15" s="1" t="s">
        <v>383</v>
      </c>
      <c r="H15" s="1" t="s">
        <v>384</v>
      </c>
      <c r="I15" s="1" t="s">
        <v>385</v>
      </c>
      <c r="J15" s="1" t="s">
        <v>374</v>
      </c>
      <c r="K15" s="1" t="s">
        <v>375</v>
      </c>
      <c r="L15" s="2"/>
      <c r="M15" s="2"/>
      <c r="N15" s="2"/>
      <c r="O15" s="2"/>
      <c r="P15" s="2"/>
      <c r="Q15" s="2"/>
      <c r="R15" s="2"/>
      <c r="S15" s="2"/>
      <c r="T15" s="2"/>
      <c r="U15" s="2"/>
      <c r="V15" s="2"/>
      <c r="W15" s="2"/>
      <c r="X15" s="2"/>
      <c r="Y15" s="2"/>
      <c r="Z15" s="2"/>
    </row>
    <row r="16">
      <c r="A16" s="1" t="s">
        <v>386</v>
      </c>
      <c r="B16" s="1" t="s">
        <v>387</v>
      </c>
      <c r="C16" s="1" t="s">
        <v>388</v>
      </c>
      <c r="D16" s="1" t="s">
        <v>304</v>
      </c>
      <c r="E16" s="1" t="s">
        <v>226</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353</v>
      </c>
      <c r="F17" s="1" t="s">
        <v>399</v>
      </c>
      <c r="G17" s="1" t="s">
        <v>400</v>
      </c>
      <c r="H17" s="1">
        <v>13.0</v>
      </c>
      <c r="I17" s="1" t="s">
        <v>401</v>
      </c>
      <c r="J17" s="1" t="s">
        <v>402</v>
      </c>
      <c r="K17" s="1">
        <v>9.0</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415</v>
      </c>
      <c r="D20" s="1" t="s">
        <v>416</v>
      </c>
      <c r="E20" s="1" t="s">
        <v>417</v>
      </c>
      <c r="F20" s="1" t="s">
        <v>418</v>
      </c>
      <c r="G20" s="1" t="s">
        <v>419</v>
      </c>
      <c r="H20" s="1" t="s">
        <v>419</v>
      </c>
      <c r="I20" s="1" t="s">
        <v>420</v>
      </c>
      <c r="J20" s="1" t="s">
        <v>421</v>
      </c>
      <c r="K20" s="1" t="s">
        <v>422</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375</v>
      </c>
      <c r="I22" s="1" t="s">
        <v>441</v>
      </c>
      <c r="J22" s="1" t="s">
        <v>379</v>
      </c>
      <c r="K22" s="1" t="s">
        <v>442</v>
      </c>
      <c r="L22" s="2"/>
      <c r="M22" s="2"/>
      <c r="N22" s="2"/>
      <c r="O22" s="2"/>
      <c r="P22" s="2"/>
      <c r="Q22" s="2"/>
      <c r="R22" s="2"/>
      <c r="S22" s="2"/>
      <c r="T22" s="2"/>
      <c r="U22" s="2"/>
      <c r="V22" s="2"/>
      <c r="W22" s="2"/>
      <c r="X22" s="2"/>
      <c r="Y22" s="2"/>
      <c r="Z22" s="2"/>
    </row>
    <row r="23" ht="15.75" customHeight="1">
      <c r="A23" s="1" t="s">
        <v>443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444</v>
      </c>
      <c r="B24" s="1" t="s">
        <v>445</v>
      </c>
      <c r="C24" s="1" t="s">
        <v>446</v>
      </c>
      <c r="D24" s="1" t="s">
        <v>447</v>
      </c>
      <c r="E24" s="1" t="s">
        <v>448</v>
      </c>
      <c r="F24" s="1" t="s">
        <v>449</v>
      </c>
      <c r="G24" s="1" t="s">
        <v>450</v>
      </c>
      <c r="H24" s="1" t="s">
        <v>449</v>
      </c>
      <c r="I24" s="1" t="s">
        <v>451</v>
      </c>
      <c r="J24" s="1" t="s">
        <v>452</v>
      </c>
      <c r="K24" s="1" t="s">
        <v>452</v>
      </c>
      <c r="L24" s="2"/>
      <c r="M24" s="2"/>
      <c r="N24" s="2"/>
      <c r="O24" s="2"/>
      <c r="P24" s="2"/>
      <c r="Q24" s="2"/>
      <c r="R24" s="2"/>
      <c r="S24" s="2"/>
      <c r="T24" s="2"/>
      <c r="U24" s="2"/>
      <c r="V24" s="2"/>
      <c r="W24" s="2"/>
      <c r="X24" s="2"/>
      <c r="Y24" s="2"/>
      <c r="Z24" s="2"/>
    </row>
    <row r="25" ht="15.75" customHeight="1">
      <c r="A25" s="1" t="s">
        <v>453</v>
      </c>
      <c r="B25" s="1" t="s">
        <v>419</v>
      </c>
      <c r="C25" s="1" t="s">
        <v>454</v>
      </c>
      <c r="D25" s="1" t="s">
        <v>455</v>
      </c>
      <c r="E25" s="1" t="s">
        <v>455</v>
      </c>
      <c r="F25" s="1" t="s">
        <v>456</v>
      </c>
      <c r="G25" s="1" t="s">
        <v>457</v>
      </c>
      <c r="H25" s="1" t="s">
        <v>457</v>
      </c>
      <c r="I25" s="1" t="s">
        <v>457</v>
      </c>
      <c r="J25" s="1" t="s">
        <v>456</v>
      </c>
      <c r="K25" s="1" t="s">
        <v>456</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459</v>
      </c>
      <c r="G26" s="1" t="s">
        <v>463</v>
      </c>
      <c r="H26" s="1" t="s">
        <v>463</v>
      </c>
      <c r="I26" s="1" t="s">
        <v>459</v>
      </c>
      <c r="J26" s="1" t="s">
        <v>460</v>
      </c>
      <c r="K26" s="1" t="s">
        <v>462</v>
      </c>
      <c r="L26" s="2"/>
      <c r="M26" s="2"/>
      <c r="N26" s="2"/>
      <c r="O26" s="2"/>
      <c r="P26" s="2"/>
      <c r="Q26" s="2"/>
      <c r="R26" s="2"/>
      <c r="S26" s="2"/>
      <c r="T26" s="2"/>
      <c r="U26" s="2"/>
      <c r="V26" s="2"/>
      <c r="W26" s="2"/>
      <c r="X26" s="2"/>
      <c r="Y26" s="2"/>
      <c r="Z26" s="2"/>
    </row>
    <row r="27" ht="15.75" customHeight="1">
      <c r="A27" s="1" t="s">
        <v>464</v>
      </c>
      <c r="B27" s="1" t="s">
        <v>465</v>
      </c>
      <c r="C27" s="1" t="s">
        <v>466</v>
      </c>
      <c r="D27" s="1" t="s">
        <v>467</v>
      </c>
      <c r="E27" s="1" t="s">
        <v>468</v>
      </c>
      <c r="F27" s="1" t="s">
        <v>469</v>
      </c>
      <c r="G27" s="1" t="s">
        <v>470</v>
      </c>
      <c r="H27" s="1" t="s">
        <v>471</v>
      </c>
      <c r="I27" s="1" t="s">
        <v>472</v>
      </c>
      <c r="J27" s="1" t="s">
        <v>473</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1" t="s">
        <v>510</v>
      </c>
      <c r="C32" s="1" t="s">
        <v>489</v>
      </c>
      <c r="D32" s="1" t="s">
        <v>490</v>
      </c>
      <c r="E32" s="1" t="s">
        <v>491</v>
      </c>
      <c r="F32" s="1" t="s">
        <v>492</v>
      </c>
      <c r="G32" s="1" t="s">
        <v>511</v>
      </c>
      <c r="H32" s="1" t="s">
        <v>512</v>
      </c>
      <c r="I32" s="1" t="s">
        <v>513</v>
      </c>
      <c r="J32" s="1" t="s">
        <v>514</v>
      </c>
      <c r="K32" s="1" t="s">
        <v>515</v>
      </c>
      <c r="L32" s="2"/>
      <c r="M32" s="2"/>
      <c r="N32" s="2"/>
      <c r="O32" s="2"/>
      <c r="P32" s="2"/>
      <c r="Q32" s="2"/>
      <c r="R32" s="2"/>
      <c r="S32" s="2"/>
      <c r="T32" s="2"/>
      <c r="U32" s="2"/>
      <c r="V32" s="2"/>
      <c r="W32" s="2"/>
      <c r="X32" s="2"/>
      <c r="Y32" s="2"/>
      <c r="Z32" s="2"/>
    </row>
    <row r="33" ht="15.75" customHeight="1">
      <c r="A33" s="1" t="s">
        <v>516</v>
      </c>
      <c r="B33" s="1" t="s">
        <v>431</v>
      </c>
      <c r="C33" s="1" t="s">
        <v>500</v>
      </c>
      <c r="D33" s="1" t="s">
        <v>501</v>
      </c>
      <c r="E33" s="1" t="s">
        <v>502</v>
      </c>
      <c r="F33" s="1" t="s">
        <v>503</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207</v>
      </c>
      <c r="D37" s="1" t="s">
        <v>557</v>
      </c>
      <c r="E37" s="1" t="s">
        <v>558</v>
      </c>
      <c r="F37" s="1" t="s">
        <v>559</v>
      </c>
      <c r="G37" s="1" t="s">
        <v>560</v>
      </c>
      <c r="H37" s="1" t="s">
        <v>561</v>
      </c>
      <c r="I37" s="1" t="s">
        <v>562</v>
      </c>
      <c r="J37" s="1" t="s">
        <v>392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570</v>
      </c>
      <c r="H38" s="1" t="s">
        <v>571</v>
      </c>
      <c r="I38" s="1" t="s">
        <v>235</v>
      </c>
      <c r="J38" s="1" t="s">
        <v>572</v>
      </c>
      <c r="K38" s="1" t="s">
        <v>223</v>
      </c>
      <c r="L38" s="2"/>
      <c r="M38" s="2"/>
      <c r="N38" s="2"/>
      <c r="O38" s="2"/>
      <c r="P38" s="2"/>
      <c r="Q38" s="2"/>
      <c r="R38" s="2"/>
      <c r="S38" s="2"/>
      <c r="T38" s="2"/>
      <c r="U38" s="2"/>
      <c r="V38" s="2"/>
      <c r="W38" s="2"/>
      <c r="X38" s="2"/>
      <c r="Y38" s="2"/>
      <c r="Z38" s="2"/>
    </row>
    <row r="39" ht="15.75" customHeight="1">
      <c r="A39" s="1" t="s">
        <v>573</v>
      </c>
      <c r="B39" s="1" t="s">
        <v>574</v>
      </c>
      <c r="C39" s="1" t="s">
        <v>575</v>
      </c>
      <c r="D39" s="1" t="s">
        <v>459</v>
      </c>
      <c r="E39" s="1" t="s">
        <v>576</v>
      </c>
      <c r="F39" s="1" t="s">
        <v>370</v>
      </c>
      <c r="G39" s="1">
        <v>2.0</v>
      </c>
      <c r="H39" s="1" t="s">
        <v>577</v>
      </c>
      <c r="I39" s="1" t="s">
        <v>455</v>
      </c>
      <c r="J39" s="1" t="s">
        <v>290</v>
      </c>
      <c r="K39" s="1" t="s">
        <v>452</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574</v>
      </c>
      <c r="C41" s="1" t="s">
        <v>590</v>
      </c>
      <c r="D41" s="1" t="s">
        <v>462</v>
      </c>
      <c r="E41" s="1" t="s">
        <v>591</v>
      </c>
      <c r="F41" s="1" t="s">
        <v>592</v>
      </c>
      <c r="G41" s="1" t="s">
        <v>237</v>
      </c>
      <c r="H41" s="1" t="s">
        <v>404</v>
      </c>
      <c r="I41" s="1" t="s">
        <v>454</v>
      </c>
      <c r="J41" s="1" t="s">
        <v>593</v>
      </c>
      <c r="K41" s="1" t="s">
        <v>594</v>
      </c>
      <c r="L41" s="2"/>
      <c r="M41" s="2"/>
      <c r="N41" s="2"/>
      <c r="O41" s="2"/>
      <c r="P41" s="2"/>
      <c r="Q41" s="2"/>
      <c r="R41" s="2"/>
      <c r="S41" s="2"/>
      <c r="T41" s="2"/>
      <c r="U41" s="2"/>
      <c r="V41" s="2"/>
      <c r="W41" s="2"/>
      <c r="X41" s="2"/>
      <c r="Y41" s="2"/>
      <c r="Z41" s="2"/>
    </row>
    <row r="42" ht="15.75" customHeight="1">
      <c r="A42" s="1" t="s">
        <v>595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596</v>
      </c>
      <c r="B43" s="1" t="s">
        <v>597</v>
      </c>
      <c r="C43" s="1" t="s">
        <v>598</v>
      </c>
      <c r="D43" s="1" t="s">
        <v>599</v>
      </c>
      <c r="E43" s="1" t="s">
        <v>600</v>
      </c>
      <c r="F43" s="1" t="s">
        <v>601</v>
      </c>
      <c r="G43" s="1" t="s">
        <v>602</v>
      </c>
      <c r="H43" s="1" t="s">
        <v>603</v>
      </c>
      <c r="I43" s="1" t="s">
        <v>604</v>
      </c>
      <c r="J43" s="1" t="s">
        <v>605</v>
      </c>
      <c r="K43" s="1" t="s">
        <v>606</v>
      </c>
      <c r="L43" s="2"/>
      <c r="M43" s="2"/>
      <c r="N43" s="2"/>
      <c r="O43" s="2"/>
      <c r="P43" s="2"/>
      <c r="Q43" s="2"/>
      <c r="R43" s="2"/>
      <c r="S43" s="2"/>
      <c r="T43" s="2"/>
      <c r="U43" s="2"/>
      <c r="V43" s="2"/>
      <c r="W43" s="2"/>
      <c r="X43" s="2"/>
      <c r="Y43" s="2"/>
      <c r="Z43" s="2"/>
    </row>
    <row r="44" ht="15.75" customHeight="1">
      <c r="A44" s="1" t="s">
        <v>607</v>
      </c>
      <c r="B44" s="1" t="s">
        <v>420</v>
      </c>
      <c r="C44" s="1" t="s">
        <v>608</v>
      </c>
      <c r="D44" s="1" t="s">
        <v>609</v>
      </c>
      <c r="E44" s="1" t="s">
        <v>610</v>
      </c>
      <c r="F44" s="1" t="s">
        <v>611</v>
      </c>
      <c r="G44" s="1" t="s">
        <v>612</v>
      </c>
      <c r="H44" s="1" t="s">
        <v>613</v>
      </c>
      <c r="I44" s="1" t="s">
        <v>614</v>
      </c>
      <c r="J44" s="1" t="s">
        <v>615</v>
      </c>
      <c r="K44" s="1" t="s">
        <v>616</v>
      </c>
      <c r="L44" s="2"/>
      <c r="M44" s="2"/>
      <c r="N44" s="2"/>
      <c r="O44" s="2"/>
      <c r="P44" s="2"/>
      <c r="Q44" s="2"/>
      <c r="R44" s="2"/>
      <c r="S44" s="2"/>
      <c r="T44" s="2"/>
      <c r="U44" s="2"/>
      <c r="V44" s="2"/>
      <c r="W44" s="2"/>
      <c r="X44" s="2"/>
      <c r="Y44" s="2"/>
      <c r="Z44" s="2"/>
    </row>
    <row r="45" ht="15.75" customHeight="1">
      <c r="A45" s="1" t="s">
        <v>617</v>
      </c>
      <c r="B45" s="1" t="s">
        <v>618</v>
      </c>
      <c r="C45" s="1" t="s">
        <v>619</v>
      </c>
      <c r="D45" s="1" t="s">
        <v>620</v>
      </c>
      <c r="E45" s="1" t="s">
        <v>621</v>
      </c>
      <c r="F45" s="1" t="s">
        <v>622</v>
      </c>
      <c r="G45" s="1" t="s">
        <v>623</v>
      </c>
      <c r="H45" s="1" t="s">
        <v>624</v>
      </c>
      <c r="I45" s="1" t="s">
        <v>625</v>
      </c>
      <c r="J45" s="1" t="s">
        <v>626</v>
      </c>
      <c r="K45" s="1" t="s">
        <v>627</v>
      </c>
      <c r="L45" s="2"/>
      <c r="M45" s="2"/>
      <c r="N45" s="2"/>
      <c r="O45" s="2"/>
      <c r="P45" s="2"/>
      <c r="Q45" s="2"/>
      <c r="R45" s="2"/>
      <c r="S45" s="2"/>
      <c r="T45" s="2"/>
      <c r="U45" s="2"/>
      <c r="V45" s="2"/>
      <c r="W45" s="2"/>
      <c r="X45" s="2"/>
      <c r="Y45" s="2"/>
      <c r="Z45" s="2"/>
    </row>
    <row r="46" ht="15.75" customHeight="1">
      <c r="A46" s="1" t="s">
        <v>628</v>
      </c>
      <c r="B46" s="1">
        <v>-5.0</v>
      </c>
      <c r="C46" s="1" t="s">
        <v>629</v>
      </c>
      <c r="D46" s="1" t="s">
        <v>630</v>
      </c>
      <c r="E46" s="1" t="s">
        <v>631</v>
      </c>
      <c r="F46" s="1" t="s">
        <v>632</v>
      </c>
      <c r="G46" s="1" t="s">
        <v>633</v>
      </c>
      <c r="H46" s="1" t="s">
        <v>368</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642</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652</v>
      </c>
      <c r="F48" s="1" t="s">
        <v>653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649</v>
      </c>
      <c r="C49" s="1" t="s">
        <v>650</v>
      </c>
      <c r="D49" s="1" t="s">
        <v>651</v>
      </c>
      <c r="E49" s="1" t="s">
        <v>652</v>
      </c>
      <c r="F49" s="1" t="s">
        <v>660</v>
      </c>
      <c r="G49" s="1" t="s">
        <v>661</v>
      </c>
      <c r="H49" s="1" t="s">
        <v>662</v>
      </c>
      <c r="I49" s="1" t="s">
        <v>663</v>
      </c>
      <c r="J49" s="1" t="s">
        <v>664</v>
      </c>
      <c r="K49" s="1" t="s">
        <v>658</v>
      </c>
      <c r="L49" s="2"/>
      <c r="M49" s="2"/>
      <c r="N49" s="2"/>
      <c r="O49" s="2"/>
      <c r="P49" s="2"/>
      <c r="Q49" s="2"/>
      <c r="R49" s="2"/>
      <c r="S49" s="2"/>
      <c r="T49" s="2"/>
      <c r="U49" s="2"/>
      <c r="V49" s="2"/>
      <c r="W49" s="2"/>
      <c r="X49" s="2"/>
      <c r="Y49" s="2"/>
      <c r="Z49" s="2"/>
    </row>
    <row r="50" ht="15.75" customHeight="1">
      <c r="A50" s="1" t="s">
        <v>665</v>
      </c>
      <c r="B50" s="1" t="s">
        <v>666</v>
      </c>
      <c r="C50" s="1" t="s">
        <v>667</v>
      </c>
      <c r="D50" s="1" t="s">
        <v>668</v>
      </c>
      <c r="E50" s="1" t="s">
        <v>669</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688</v>
      </c>
      <c r="C52" s="1" t="s">
        <v>689</v>
      </c>
      <c r="D52" s="1" t="s">
        <v>690</v>
      </c>
      <c r="E52" s="1" t="s">
        <v>691</v>
      </c>
      <c r="F52" s="1" t="s">
        <v>692</v>
      </c>
      <c r="G52" s="1" t="s">
        <v>693</v>
      </c>
      <c r="H52" s="1" t="s">
        <v>694</v>
      </c>
      <c r="I52" s="1" t="s">
        <v>695</v>
      </c>
      <c r="J52" s="1" t="s">
        <v>696</v>
      </c>
      <c r="K52" s="1" t="s">
        <v>207</v>
      </c>
      <c r="L52" s="2"/>
      <c r="M52" s="2"/>
      <c r="N52" s="2"/>
      <c r="O52" s="2"/>
      <c r="P52" s="2"/>
      <c r="Q52" s="2"/>
      <c r="R52" s="2"/>
      <c r="S52" s="2"/>
      <c r="T52" s="2"/>
      <c r="U52" s="2"/>
      <c r="V52" s="2"/>
      <c r="W52" s="2"/>
      <c r="X52" s="2"/>
      <c r="Y52" s="2"/>
      <c r="Z52" s="2"/>
    </row>
    <row r="53" ht="15.75" customHeight="1">
      <c r="A53" s="1" t="s">
        <v>697</v>
      </c>
      <c r="B53" s="1" t="s">
        <v>698</v>
      </c>
      <c r="C53" s="1" t="s">
        <v>699</v>
      </c>
      <c r="D53" s="1" t="s">
        <v>700</v>
      </c>
      <c r="E53" s="1" t="s">
        <v>701</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t="s">
        <v>709</v>
      </c>
      <c r="C54" s="1" t="s">
        <v>710</v>
      </c>
      <c r="D54" s="1" t="s">
        <v>711</v>
      </c>
      <c r="E54" s="1" t="s">
        <v>712</v>
      </c>
      <c r="F54" s="1" t="s">
        <v>713</v>
      </c>
      <c r="G54" s="1" t="s">
        <v>714</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580</v>
      </c>
      <c r="F55" s="1" t="s">
        <v>723</v>
      </c>
      <c r="G55" s="1" t="s">
        <v>724</v>
      </c>
      <c r="H55" s="1" t="s">
        <v>622</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546</v>
      </c>
      <c r="C56" s="1" t="s">
        <v>729</v>
      </c>
      <c r="D56" s="1" t="s">
        <v>730</v>
      </c>
      <c r="E56" s="1" t="s">
        <v>731</v>
      </c>
      <c r="F56" s="1" t="s">
        <v>732</v>
      </c>
      <c r="G56" s="1" t="s">
        <v>733</v>
      </c>
      <c r="H56" s="1" t="s">
        <v>734</v>
      </c>
      <c r="I56" s="1" t="s">
        <v>735</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740</v>
      </c>
      <c r="D57" s="1" t="s">
        <v>741</v>
      </c>
      <c r="E57" s="1" t="s">
        <v>742</v>
      </c>
      <c r="F57" s="1" t="s">
        <v>743</v>
      </c>
      <c r="G57" s="1" t="s">
        <v>744</v>
      </c>
      <c r="H57" s="1" t="s">
        <v>745</v>
      </c>
      <c r="I57" s="1" t="s">
        <v>746</v>
      </c>
      <c r="J57" s="1" t="s">
        <v>747</v>
      </c>
      <c r="K57" s="1" t="s">
        <v>748</v>
      </c>
      <c r="L57" s="2"/>
      <c r="M57" s="2"/>
      <c r="N57" s="2"/>
      <c r="O57" s="2"/>
      <c r="P57" s="2"/>
      <c r="Q57" s="2"/>
      <c r="R57" s="2"/>
      <c r="S57" s="2"/>
      <c r="T57" s="2"/>
      <c r="U57" s="2"/>
      <c r="V57" s="2"/>
      <c r="W57" s="2"/>
      <c r="X57" s="2"/>
      <c r="Y57" s="2"/>
      <c r="Z57" s="2"/>
    </row>
    <row r="58" ht="15.75" customHeight="1">
      <c r="A58" s="1" t="s">
        <v>749</v>
      </c>
      <c r="B58" s="1" t="s">
        <v>750</v>
      </c>
      <c r="C58" s="1" t="s">
        <v>751</v>
      </c>
      <c r="D58" s="1" t="s">
        <v>752</v>
      </c>
      <c r="E58" s="1" t="s">
        <v>753</v>
      </c>
      <c r="F58" s="1" t="s">
        <v>754</v>
      </c>
      <c r="G58" s="1" t="s">
        <v>755</v>
      </c>
      <c r="H58" s="1" t="s">
        <v>354</v>
      </c>
      <c r="I58" s="1" t="s">
        <v>756</v>
      </c>
      <c r="J58" s="1" t="s">
        <v>757</v>
      </c>
      <c r="K58" s="1" t="s">
        <v>758</v>
      </c>
      <c r="L58" s="2"/>
      <c r="M58" s="2"/>
      <c r="N58" s="2"/>
      <c r="O58" s="2"/>
      <c r="P58" s="2"/>
      <c r="Q58" s="2"/>
      <c r="R58" s="2"/>
      <c r="S58" s="2"/>
      <c r="T58" s="2"/>
      <c r="U58" s="2"/>
      <c r="V58" s="2"/>
      <c r="W58" s="2"/>
      <c r="X58" s="2"/>
      <c r="Y58" s="2"/>
      <c r="Z58" s="2"/>
    </row>
    <row r="59" ht="15.75" customHeight="1">
      <c r="A59" s="1" t="s">
        <v>759</v>
      </c>
      <c r="B59" s="1" t="s">
        <v>760</v>
      </c>
      <c r="C59" s="1">
        <v>0.0</v>
      </c>
      <c r="D59" s="1" t="s">
        <v>761</v>
      </c>
      <c r="E59" s="1" t="s">
        <v>762</v>
      </c>
      <c r="F59" s="1">
        <v>0.0</v>
      </c>
      <c r="G59" s="1" t="s">
        <v>763</v>
      </c>
      <c r="H59" s="1" t="s">
        <v>764</v>
      </c>
      <c r="I59" s="1" t="s">
        <v>765</v>
      </c>
      <c r="J59" s="1" t="s">
        <v>766</v>
      </c>
      <c r="K59" s="1" t="s">
        <v>767</v>
      </c>
      <c r="L59" s="2"/>
      <c r="M59" s="2"/>
      <c r="N59" s="2"/>
      <c r="O59" s="2"/>
      <c r="P59" s="2"/>
      <c r="Q59" s="2"/>
      <c r="R59" s="2"/>
      <c r="S59" s="2"/>
      <c r="T59" s="2"/>
      <c r="U59" s="2"/>
      <c r="V59" s="2"/>
      <c r="W59" s="2"/>
      <c r="X59" s="2"/>
      <c r="Y59" s="2"/>
      <c r="Z59" s="2"/>
    </row>
    <row r="60" ht="15.75" customHeight="1">
      <c r="A60" s="1" t="s">
        <v>768</v>
      </c>
      <c r="B60" s="1" t="s">
        <v>769</v>
      </c>
      <c r="C60" s="1">
        <v>0.0</v>
      </c>
      <c r="D60" s="1" t="s">
        <v>770</v>
      </c>
      <c r="E60" s="1" t="s">
        <v>771</v>
      </c>
      <c r="F60" s="1">
        <v>0.0</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392</v>
      </c>
      <c r="I61" s="1" t="s">
        <v>784</v>
      </c>
      <c r="J61" s="1" t="s">
        <v>572</v>
      </c>
      <c r="K61" s="1" t="s">
        <v>309</v>
      </c>
      <c r="L61" s="2"/>
      <c r="M61" s="2"/>
      <c r="N61" s="2"/>
      <c r="O61" s="2"/>
      <c r="P61" s="2"/>
      <c r="Q61" s="2"/>
      <c r="R61" s="2"/>
      <c r="S61" s="2"/>
      <c r="T61" s="2"/>
      <c r="U61" s="2"/>
      <c r="V61" s="2"/>
      <c r="W61" s="2"/>
      <c r="X61" s="2"/>
      <c r="Y61" s="2"/>
      <c r="Z61" s="2"/>
    </row>
    <row r="62" ht="15.75" customHeight="1">
      <c r="A62" s="1" t="s">
        <v>785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786</v>
      </c>
      <c r="B63" s="1" t="s">
        <v>333</v>
      </c>
      <c r="C63" s="1" t="s">
        <v>787</v>
      </c>
      <c r="D63" s="1" t="s">
        <v>788</v>
      </c>
      <c r="E63" s="1" t="s">
        <v>789</v>
      </c>
      <c r="F63" s="1" t="s">
        <v>790</v>
      </c>
      <c r="G63" s="1" t="s">
        <v>791</v>
      </c>
      <c r="H63" s="1" t="s">
        <v>792</v>
      </c>
      <c r="I63" s="1" t="s">
        <v>793</v>
      </c>
      <c r="J63" s="1" t="s">
        <v>794</v>
      </c>
      <c r="K63" s="1" t="s">
        <v>795</v>
      </c>
      <c r="L63" s="2"/>
      <c r="M63" s="2"/>
      <c r="N63" s="2"/>
      <c r="O63" s="2"/>
      <c r="P63" s="2"/>
      <c r="Q63" s="2"/>
      <c r="R63" s="2"/>
      <c r="S63" s="2"/>
      <c r="T63" s="2"/>
      <c r="U63" s="2"/>
      <c r="V63" s="2"/>
      <c r="W63" s="2"/>
      <c r="X63" s="2"/>
      <c r="Y63" s="2"/>
      <c r="Z63" s="2"/>
    </row>
    <row r="64" ht="15.75" customHeight="1">
      <c r="A64" s="1" t="s">
        <v>796</v>
      </c>
      <c r="B64" s="1" t="s">
        <v>797</v>
      </c>
      <c r="C64" s="1" t="s">
        <v>798</v>
      </c>
      <c r="D64" s="1" t="s">
        <v>799</v>
      </c>
      <c r="E64" s="1" t="s">
        <v>800</v>
      </c>
      <c r="F64" s="1" t="s">
        <v>801</v>
      </c>
      <c r="G64" s="1" t="s">
        <v>802</v>
      </c>
      <c r="H64" s="1" t="s">
        <v>803</v>
      </c>
      <c r="I64" s="1" t="s">
        <v>433</v>
      </c>
      <c r="J64" s="1" t="s">
        <v>804</v>
      </c>
      <c r="K64" s="1" t="s">
        <v>805</v>
      </c>
      <c r="L64" s="2"/>
      <c r="M64" s="2"/>
      <c r="N64" s="2"/>
      <c r="O64" s="2"/>
      <c r="P64" s="2"/>
      <c r="Q64" s="2"/>
      <c r="R64" s="2"/>
      <c r="S64" s="2"/>
      <c r="T64" s="2"/>
      <c r="U64" s="2"/>
      <c r="V64" s="2"/>
      <c r="W64" s="2"/>
      <c r="X64" s="2"/>
      <c r="Y64" s="2"/>
      <c r="Z64" s="2"/>
    </row>
    <row r="65" ht="15.75" customHeight="1">
      <c r="A65" s="1" t="s">
        <v>806</v>
      </c>
      <c r="B65" s="1" t="s">
        <v>807</v>
      </c>
      <c r="C65" s="1" t="s">
        <v>808</v>
      </c>
      <c r="D65" s="1" t="s">
        <v>809</v>
      </c>
      <c r="E65" s="1" t="s">
        <v>810</v>
      </c>
      <c r="F65" s="1" t="s">
        <v>811</v>
      </c>
      <c r="G65" s="1" t="s">
        <v>812</v>
      </c>
      <c r="H65" s="1" t="s">
        <v>813</v>
      </c>
      <c r="I65" s="1" t="s">
        <v>814</v>
      </c>
      <c r="J65" s="1" t="s">
        <v>815</v>
      </c>
      <c r="K65" s="1" t="s">
        <v>816</v>
      </c>
      <c r="L65" s="2"/>
      <c r="M65" s="2"/>
      <c r="N65" s="2"/>
      <c r="O65" s="2"/>
      <c r="P65" s="2"/>
      <c r="Q65" s="2"/>
      <c r="R65" s="2"/>
      <c r="S65" s="2"/>
      <c r="T65" s="2"/>
      <c r="U65" s="2"/>
      <c r="V65" s="2"/>
      <c r="W65" s="2"/>
      <c r="X65" s="2"/>
      <c r="Y65" s="2"/>
      <c r="Z65" s="2"/>
    </row>
    <row r="66" ht="15.75" customHeight="1">
      <c r="A66" s="1" t="s">
        <v>817</v>
      </c>
      <c r="B66" s="1" t="s">
        <v>818</v>
      </c>
      <c r="C66" s="1" t="s">
        <v>819</v>
      </c>
      <c r="D66" s="1" t="s">
        <v>441</v>
      </c>
      <c r="E66" s="1" t="s">
        <v>623</v>
      </c>
      <c r="F66" s="1" t="s">
        <v>820</v>
      </c>
      <c r="G66" s="1" t="s">
        <v>821</v>
      </c>
      <c r="H66" s="1" t="s">
        <v>822</v>
      </c>
      <c r="I66" s="1" t="s">
        <v>823</v>
      </c>
      <c r="J66" s="1" t="s">
        <v>824</v>
      </c>
      <c r="K66" s="1" t="s">
        <v>825</v>
      </c>
      <c r="L66" s="2"/>
      <c r="M66" s="2"/>
      <c r="N66" s="2"/>
      <c r="O66" s="2"/>
      <c r="P66" s="2"/>
      <c r="Q66" s="2"/>
      <c r="R66" s="2"/>
      <c r="S66" s="2"/>
      <c r="T66" s="2"/>
      <c r="U66" s="2"/>
      <c r="V66" s="2"/>
      <c r="W66" s="2"/>
      <c r="X66" s="2"/>
      <c r="Y66" s="2"/>
      <c r="Z66" s="2"/>
    </row>
    <row r="67" ht="15.75" customHeight="1">
      <c r="A67" s="1" t="s">
        <v>826</v>
      </c>
      <c r="B67" s="1" t="s">
        <v>827</v>
      </c>
      <c r="C67" s="1" t="s">
        <v>828</v>
      </c>
      <c r="D67" s="1" t="s">
        <v>829</v>
      </c>
      <c r="E67" s="1" t="s">
        <v>830</v>
      </c>
      <c r="F67" s="1" t="s">
        <v>831</v>
      </c>
      <c r="G67" s="1" t="s">
        <v>832</v>
      </c>
      <c r="H67" s="1" t="s">
        <v>625</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837</v>
      </c>
      <c r="C68" s="1" t="s">
        <v>838</v>
      </c>
      <c r="D68" s="1" t="s">
        <v>839</v>
      </c>
      <c r="E68" s="1" t="s">
        <v>840</v>
      </c>
      <c r="F68" s="1" t="s">
        <v>841</v>
      </c>
      <c r="G68" s="1" t="s">
        <v>842</v>
      </c>
      <c r="H68" s="1" t="s">
        <v>843</v>
      </c>
      <c r="I68" s="1" t="s">
        <v>844</v>
      </c>
      <c r="J68" s="1" t="s">
        <v>845</v>
      </c>
      <c r="K68" s="1" t="s">
        <v>846</v>
      </c>
      <c r="L68" s="2"/>
      <c r="M68" s="2"/>
      <c r="N68" s="2"/>
      <c r="O68" s="2"/>
      <c r="P68" s="2"/>
      <c r="Q68" s="2"/>
      <c r="R68" s="2"/>
      <c r="S68" s="2"/>
      <c r="T68" s="2"/>
      <c r="U68" s="2"/>
      <c r="V68" s="2"/>
      <c r="W68" s="2"/>
      <c r="X68" s="2"/>
      <c r="Y68" s="2"/>
      <c r="Z68" s="2"/>
    </row>
    <row r="69" ht="15.75" customHeight="1">
      <c r="A69" s="1" t="s">
        <v>847</v>
      </c>
      <c r="B69" s="1" t="s">
        <v>837</v>
      </c>
      <c r="C69" s="1" t="s">
        <v>838</v>
      </c>
      <c r="D69" s="1" t="s">
        <v>839</v>
      </c>
      <c r="E69" s="1" t="s">
        <v>840</v>
      </c>
      <c r="F69" s="1" t="s">
        <v>848</v>
      </c>
      <c r="G69" s="1" t="s">
        <v>849</v>
      </c>
      <c r="H69" s="1" t="s">
        <v>850</v>
      </c>
      <c r="I69" s="1" t="s">
        <v>851</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857</v>
      </c>
      <c r="E70" s="1" t="s">
        <v>858</v>
      </c>
      <c r="F70" s="1" t="s">
        <v>859</v>
      </c>
      <c r="G70" s="1" t="s">
        <v>860</v>
      </c>
      <c r="H70" s="1" t="s">
        <v>861</v>
      </c>
      <c r="I70" s="1" t="s">
        <v>862</v>
      </c>
      <c r="J70" s="1" t="s">
        <v>863</v>
      </c>
      <c r="K70" s="1" t="s">
        <v>864</v>
      </c>
      <c r="L70" s="2"/>
      <c r="M70" s="2"/>
      <c r="N70" s="2"/>
      <c r="O70" s="2"/>
      <c r="P70" s="2"/>
      <c r="Q70" s="2"/>
      <c r="R70" s="2"/>
      <c r="S70" s="2"/>
      <c r="T70" s="2"/>
      <c r="U70" s="2"/>
      <c r="V70" s="2"/>
      <c r="W70" s="2"/>
      <c r="X70" s="2"/>
      <c r="Y70" s="2"/>
      <c r="Z70" s="2"/>
    </row>
    <row r="71" ht="15.75" customHeight="1">
      <c r="A71" s="1" t="s">
        <v>865</v>
      </c>
      <c r="B71" s="1" t="s">
        <v>644</v>
      </c>
      <c r="C71" s="1" t="s">
        <v>866</v>
      </c>
      <c r="D71" s="1" t="s">
        <v>867</v>
      </c>
      <c r="E71" s="1" t="s">
        <v>868</v>
      </c>
      <c r="F71" s="1" t="s">
        <v>869</v>
      </c>
      <c r="G71" s="1" t="s">
        <v>870</v>
      </c>
      <c r="H71" s="1" t="s">
        <v>871</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877</v>
      </c>
      <c r="D72" s="1" t="s">
        <v>878</v>
      </c>
      <c r="E72" s="1" t="s">
        <v>879</v>
      </c>
      <c r="F72" s="1" t="s">
        <v>880</v>
      </c>
      <c r="G72" s="1" t="s">
        <v>881</v>
      </c>
      <c r="H72" s="1" t="s">
        <v>882</v>
      </c>
      <c r="I72" s="1" t="s">
        <v>883</v>
      </c>
      <c r="J72" s="1" t="s">
        <v>884</v>
      </c>
      <c r="K72" s="1" t="s">
        <v>885</v>
      </c>
      <c r="L72" s="2"/>
      <c r="M72" s="2"/>
      <c r="N72" s="2"/>
      <c r="O72" s="2"/>
      <c r="P72" s="2"/>
      <c r="Q72" s="2"/>
      <c r="R72" s="2"/>
      <c r="S72" s="2"/>
      <c r="T72" s="2"/>
      <c r="U72" s="2"/>
      <c r="V72" s="2"/>
      <c r="W72" s="2"/>
      <c r="X72" s="2"/>
      <c r="Y72" s="2"/>
      <c r="Z72" s="2"/>
    </row>
    <row r="73" ht="15.75" customHeight="1">
      <c r="A73" s="1" t="s">
        <v>886</v>
      </c>
      <c r="B73" s="1" t="s">
        <v>887</v>
      </c>
      <c r="C73" s="1" t="s">
        <v>888</v>
      </c>
      <c r="D73" s="1" t="s">
        <v>889</v>
      </c>
      <c r="E73" s="1" t="s">
        <v>890</v>
      </c>
      <c r="F73" s="1" t="s">
        <v>891</v>
      </c>
      <c r="G73" s="1" t="s">
        <v>892</v>
      </c>
      <c r="H73" s="1" t="s">
        <v>893</v>
      </c>
      <c r="I73" s="1" t="s">
        <v>689</v>
      </c>
      <c r="J73" s="1" t="s">
        <v>894</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893</v>
      </c>
      <c r="E74" s="1" t="s">
        <v>899</v>
      </c>
      <c r="F74" s="1" t="s">
        <v>900</v>
      </c>
      <c r="G74" s="1" t="s">
        <v>901</v>
      </c>
      <c r="H74" s="1" t="s">
        <v>902</v>
      </c>
      <c r="I74" s="1" t="s">
        <v>903</v>
      </c>
      <c r="J74" s="1" t="s">
        <v>904</v>
      </c>
      <c r="K74" s="1" t="s">
        <v>590</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917</v>
      </c>
      <c r="C76" s="1" t="s">
        <v>918</v>
      </c>
      <c r="D76" s="1" t="s">
        <v>919</v>
      </c>
      <c r="E76" s="1" t="s">
        <v>920</v>
      </c>
      <c r="F76" s="1" t="s">
        <v>921</v>
      </c>
      <c r="G76" s="1" t="s">
        <v>922</v>
      </c>
      <c r="H76" s="1" t="s">
        <v>923</v>
      </c>
      <c r="I76" s="1" t="s">
        <v>924</v>
      </c>
      <c r="J76" s="1" t="s">
        <v>925</v>
      </c>
      <c r="K76" s="1" t="s">
        <v>926</v>
      </c>
      <c r="L76" s="2"/>
      <c r="M76" s="2"/>
      <c r="N76" s="2"/>
      <c r="O76" s="2"/>
      <c r="P76" s="2"/>
      <c r="Q76" s="2"/>
      <c r="R76" s="2"/>
      <c r="S76" s="2"/>
      <c r="T76" s="2"/>
      <c r="U76" s="2"/>
      <c r="V76" s="2"/>
      <c r="W76" s="2"/>
      <c r="X76" s="2"/>
      <c r="Y76" s="2"/>
      <c r="Z76" s="2"/>
    </row>
    <row r="77" ht="15.75" customHeight="1">
      <c r="A77" s="1" t="s">
        <v>927</v>
      </c>
      <c r="B77" s="1" t="s">
        <v>928</v>
      </c>
      <c r="C77" s="1" t="s">
        <v>929</v>
      </c>
      <c r="D77" s="1" t="s">
        <v>930</v>
      </c>
      <c r="E77" s="1" t="s">
        <v>931</v>
      </c>
      <c r="F77" s="1" t="s">
        <v>932</v>
      </c>
      <c r="G77" s="1" t="s">
        <v>933</v>
      </c>
      <c r="H77" s="1" t="s">
        <v>934</v>
      </c>
      <c r="I77" s="1" t="s">
        <v>935</v>
      </c>
      <c r="J77" s="1" t="s">
        <v>936</v>
      </c>
      <c r="K77" s="1" t="s">
        <v>501</v>
      </c>
      <c r="L77" s="2"/>
      <c r="M77" s="2"/>
      <c r="N77" s="2"/>
      <c r="O77" s="2"/>
      <c r="P77" s="2"/>
      <c r="Q77" s="2"/>
      <c r="R77" s="2"/>
      <c r="S77" s="2"/>
      <c r="T77" s="2"/>
      <c r="U77" s="2"/>
      <c r="V77" s="2"/>
      <c r="W77" s="2"/>
      <c r="X77" s="2"/>
      <c r="Y77" s="2"/>
      <c r="Z77" s="2"/>
    </row>
    <row r="78" ht="15.75" customHeight="1">
      <c r="A78" s="1" t="s">
        <v>937</v>
      </c>
      <c r="B78" s="1" t="s">
        <v>938</v>
      </c>
      <c r="C78" s="1" t="s">
        <v>780</v>
      </c>
      <c r="D78" s="1" t="s">
        <v>294</v>
      </c>
      <c r="E78" s="1" t="s">
        <v>939</v>
      </c>
      <c r="F78" s="1" t="s">
        <v>940</v>
      </c>
      <c r="G78" s="1" t="s">
        <v>941</v>
      </c>
      <c r="H78" s="1" t="s">
        <v>942</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950</v>
      </c>
      <c r="F79" s="1" t="s">
        <v>951</v>
      </c>
      <c r="G79" s="1" t="s">
        <v>952</v>
      </c>
      <c r="H79" s="1" t="s">
        <v>953</v>
      </c>
      <c r="I79" s="1" t="s">
        <v>954</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t="s">
        <v>962</v>
      </c>
      <c r="G80" s="1" t="s">
        <v>963</v>
      </c>
      <c r="H80" s="1" t="s">
        <v>964</v>
      </c>
      <c r="I80" s="1" t="s">
        <v>965</v>
      </c>
      <c r="J80" s="1" t="s">
        <v>966</v>
      </c>
      <c r="K80" s="1" t="s">
        <v>967</v>
      </c>
      <c r="L80" s="2"/>
      <c r="M80" s="2"/>
      <c r="N80" s="2"/>
      <c r="O80" s="2"/>
      <c r="P80" s="2"/>
      <c r="Q80" s="2"/>
      <c r="R80" s="2"/>
      <c r="S80" s="2"/>
      <c r="T80" s="2"/>
      <c r="U80" s="2"/>
      <c r="V80" s="2"/>
      <c r="W80" s="2"/>
      <c r="X80" s="2"/>
      <c r="Y80" s="2"/>
      <c r="Z80" s="2"/>
    </row>
    <row r="81" ht="15.75" customHeight="1">
      <c r="A81" s="1" t="s">
        <v>968</v>
      </c>
      <c r="B81" s="1" t="s">
        <v>969</v>
      </c>
      <c r="C81" s="1" t="s">
        <v>970</v>
      </c>
      <c r="D81" s="1" t="s">
        <v>971</v>
      </c>
      <c r="E81" s="1" t="s">
        <v>813</v>
      </c>
      <c r="F81" s="1" t="s">
        <v>385</v>
      </c>
      <c r="G81" s="1" t="s">
        <v>972</v>
      </c>
      <c r="H81" s="1" t="s">
        <v>973</v>
      </c>
      <c r="I81" s="1" t="s">
        <v>974</v>
      </c>
      <c r="J81" s="1" t="s">
        <v>613</v>
      </c>
      <c r="K81" s="1" t="s">
        <v>899</v>
      </c>
      <c r="L81" s="2"/>
      <c r="M81" s="2"/>
      <c r="N81" s="2"/>
      <c r="O81" s="2"/>
      <c r="P81" s="2"/>
      <c r="Q81" s="2"/>
      <c r="R81" s="2"/>
      <c r="S81" s="2"/>
      <c r="T81" s="2"/>
      <c r="U81" s="2"/>
      <c r="V81" s="2"/>
      <c r="W81" s="2"/>
      <c r="X81" s="2"/>
      <c r="Y81" s="2"/>
      <c r="Z81" s="2"/>
    </row>
    <row r="82" ht="15.75" customHeight="1">
      <c r="A82" s="1" t="s">
        <v>975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976</v>
      </c>
      <c r="B83" s="1" t="s">
        <v>977</v>
      </c>
      <c r="C83" s="1" t="s">
        <v>978</v>
      </c>
      <c r="D83" s="1" t="s">
        <v>979</v>
      </c>
      <c r="E83" s="1" t="s">
        <v>980</v>
      </c>
      <c r="F83" s="1" t="s">
        <v>981</v>
      </c>
      <c r="G83" s="1" t="s">
        <v>231</v>
      </c>
      <c r="H83" s="1" t="s">
        <v>982</v>
      </c>
      <c r="I83" s="1" t="s">
        <v>983</v>
      </c>
      <c r="J83" s="1" t="s">
        <v>374</v>
      </c>
      <c r="K83" s="1" t="s">
        <v>984</v>
      </c>
      <c r="L83" s="2"/>
      <c r="M83" s="2"/>
      <c r="N83" s="2"/>
      <c r="O83" s="2"/>
      <c r="P83" s="2"/>
      <c r="Q83" s="2"/>
      <c r="R83" s="2"/>
      <c r="S83" s="2"/>
      <c r="T83" s="2"/>
      <c r="U83" s="2"/>
      <c r="V83" s="2"/>
      <c r="W83" s="2"/>
      <c r="X83" s="2"/>
      <c r="Y83" s="2"/>
      <c r="Z83" s="2"/>
    </row>
    <row r="84" ht="15.75" customHeight="1">
      <c r="A84" s="1" t="s">
        <v>985</v>
      </c>
      <c r="B84" s="1" t="s">
        <v>986</v>
      </c>
      <c r="C84" s="1" t="s">
        <v>804</v>
      </c>
      <c r="D84" s="1" t="s">
        <v>987</v>
      </c>
      <c r="E84" s="1" t="s">
        <v>988</v>
      </c>
      <c r="F84" s="1" t="s">
        <v>989</v>
      </c>
      <c r="G84" s="1" t="s">
        <v>990</v>
      </c>
      <c r="H84" s="1" t="s">
        <v>991</v>
      </c>
      <c r="I84" s="1" t="s">
        <v>992</v>
      </c>
      <c r="J84" s="1" t="s">
        <v>993</v>
      </c>
      <c r="K84" s="1" t="s">
        <v>994</v>
      </c>
      <c r="L84" s="2"/>
      <c r="M84" s="2"/>
      <c r="N84" s="2"/>
      <c r="O84" s="2"/>
      <c r="P84" s="2"/>
      <c r="Q84" s="2"/>
      <c r="R84" s="2"/>
      <c r="S84" s="2"/>
      <c r="T84" s="2"/>
      <c r="U84" s="2"/>
      <c r="V84" s="2"/>
      <c r="W84" s="2"/>
      <c r="X84" s="2"/>
      <c r="Y84" s="2"/>
      <c r="Z84" s="2"/>
    </row>
    <row r="85" ht="15.75" customHeight="1">
      <c r="A85" s="1" t="s">
        <v>995</v>
      </c>
      <c r="B85" s="1" t="s">
        <v>996</v>
      </c>
      <c r="C85" s="1" t="s">
        <v>997</v>
      </c>
      <c r="D85" s="1" t="s">
        <v>998</v>
      </c>
      <c r="E85" s="1" t="s">
        <v>999</v>
      </c>
      <c r="F85" s="1" t="s">
        <v>1000</v>
      </c>
      <c r="G85" s="1" t="s">
        <v>1001</v>
      </c>
      <c r="H85" s="1" t="s">
        <v>1002</v>
      </c>
      <c r="I85" s="1" t="s">
        <v>1003</v>
      </c>
      <c r="J85" s="1" t="s">
        <v>1004</v>
      </c>
      <c r="K85" s="1" t="s">
        <v>1005</v>
      </c>
      <c r="L85" s="2"/>
      <c r="M85" s="2"/>
      <c r="N85" s="2"/>
      <c r="O85" s="2"/>
      <c r="P85" s="2"/>
      <c r="Q85" s="2"/>
      <c r="R85" s="2"/>
      <c r="S85" s="2"/>
      <c r="T85" s="2"/>
      <c r="U85" s="2"/>
      <c r="V85" s="2"/>
      <c r="W85" s="2"/>
      <c r="X85" s="2"/>
      <c r="Y85" s="2"/>
      <c r="Z85" s="2"/>
    </row>
    <row r="86" ht="15.75" customHeight="1">
      <c r="A86" s="1" t="s">
        <v>1006</v>
      </c>
      <c r="B86" s="1" t="s">
        <v>1007</v>
      </c>
      <c r="C86" s="1" t="s">
        <v>1008</v>
      </c>
      <c r="D86" s="1" t="s">
        <v>1009</v>
      </c>
      <c r="E86" s="1" t="s">
        <v>1010</v>
      </c>
      <c r="F86" s="1" t="s">
        <v>1011</v>
      </c>
      <c r="G86" s="1" t="s">
        <v>1012</v>
      </c>
      <c r="H86" s="1" t="s">
        <v>1013</v>
      </c>
      <c r="I86" s="1" t="s">
        <v>1014</v>
      </c>
      <c r="J86" s="1" t="s">
        <v>1015</v>
      </c>
      <c r="K86" s="1" t="s">
        <v>1016</v>
      </c>
      <c r="L86" s="2"/>
      <c r="M86" s="2"/>
      <c r="N86" s="2"/>
      <c r="O86" s="2"/>
      <c r="P86" s="2"/>
      <c r="Q86" s="2"/>
      <c r="R86" s="2"/>
      <c r="S86" s="2"/>
      <c r="T86" s="2"/>
      <c r="U86" s="2"/>
      <c r="V86" s="2"/>
      <c r="W86" s="2"/>
      <c r="X86" s="2"/>
      <c r="Y86" s="2"/>
      <c r="Z86" s="2"/>
    </row>
    <row r="87" ht="15.75" customHeight="1">
      <c r="A87" s="1" t="s">
        <v>1017</v>
      </c>
      <c r="B87" s="1" t="s">
        <v>1018</v>
      </c>
      <c r="C87" s="1" t="s">
        <v>1019</v>
      </c>
      <c r="D87" s="1" t="s">
        <v>213</v>
      </c>
      <c r="E87" s="1" t="s">
        <v>1020</v>
      </c>
      <c r="F87" s="1" t="s">
        <v>1021</v>
      </c>
      <c r="G87" s="1" t="s">
        <v>1022</v>
      </c>
      <c r="H87" s="1" t="s">
        <v>1023</v>
      </c>
      <c r="I87" s="1" t="s">
        <v>490</v>
      </c>
      <c r="J87" s="1" t="s">
        <v>1024</v>
      </c>
      <c r="K87" s="1" t="s">
        <v>1025</v>
      </c>
      <c r="L87" s="2"/>
      <c r="M87" s="2"/>
      <c r="N87" s="2"/>
      <c r="O87" s="2"/>
      <c r="P87" s="2"/>
      <c r="Q87" s="2"/>
      <c r="R87" s="2"/>
      <c r="S87" s="2"/>
      <c r="T87" s="2"/>
      <c r="U87" s="2"/>
      <c r="V87" s="2"/>
      <c r="W87" s="2"/>
      <c r="X87" s="2"/>
      <c r="Y87" s="2"/>
      <c r="Z87" s="2"/>
    </row>
    <row r="88" ht="15.75" customHeight="1">
      <c r="A88" s="1" t="s">
        <v>1026</v>
      </c>
      <c r="B88" s="1" t="s">
        <v>1027</v>
      </c>
      <c r="C88" s="1" t="s">
        <v>1028</v>
      </c>
      <c r="D88" s="1" t="s">
        <v>1029</v>
      </c>
      <c r="E88" s="1" t="s">
        <v>1030</v>
      </c>
      <c r="F88" s="1" t="s">
        <v>1031</v>
      </c>
      <c r="G88" s="1" t="s">
        <v>1032</v>
      </c>
      <c r="H88" s="1" t="s">
        <v>1033</v>
      </c>
      <c r="I88" s="1" t="s">
        <v>1034</v>
      </c>
      <c r="J88" s="1" t="s">
        <v>1035</v>
      </c>
      <c r="K88" s="1" t="s">
        <v>1036</v>
      </c>
      <c r="L88" s="2"/>
      <c r="M88" s="2"/>
      <c r="N88" s="2"/>
      <c r="O88" s="2"/>
      <c r="P88" s="2"/>
      <c r="Q88" s="2"/>
      <c r="R88" s="2"/>
      <c r="S88" s="2"/>
      <c r="T88" s="2"/>
      <c r="U88" s="2"/>
      <c r="V88" s="2"/>
      <c r="W88" s="2"/>
      <c r="X88" s="2"/>
      <c r="Y88" s="2"/>
      <c r="Z88" s="2"/>
    </row>
    <row r="89" ht="15.75" customHeight="1">
      <c r="A89" s="1" t="s">
        <v>1037</v>
      </c>
      <c r="B89" s="1" t="s">
        <v>1027</v>
      </c>
      <c r="C89" s="1" t="s">
        <v>1028</v>
      </c>
      <c r="D89" s="1" t="s">
        <v>1029</v>
      </c>
      <c r="E89" s="1" t="s">
        <v>1030</v>
      </c>
      <c r="F89" s="1" t="s">
        <v>1038</v>
      </c>
      <c r="G89" s="1" t="s">
        <v>1039</v>
      </c>
      <c r="H89" s="1" t="s">
        <v>1040</v>
      </c>
      <c r="I89" s="1" t="s">
        <v>1041</v>
      </c>
      <c r="J89" s="1" t="s">
        <v>1042</v>
      </c>
      <c r="K89" s="1" t="s">
        <v>1043</v>
      </c>
      <c r="L89" s="2"/>
      <c r="M89" s="2"/>
      <c r="N89" s="2"/>
      <c r="O89" s="2"/>
      <c r="P89" s="2"/>
      <c r="Q89" s="2"/>
      <c r="R89" s="2"/>
      <c r="S89" s="2"/>
      <c r="T89" s="2"/>
      <c r="U89" s="2"/>
      <c r="V89" s="2"/>
      <c r="W89" s="2"/>
      <c r="X89" s="2"/>
      <c r="Y89" s="2"/>
      <c r="Z89" s="2"/>
    </row>
    <row r="90" ht="15.75" customHeight="1">
      <c r="A90" s="1" t="s">
        <v>1044</v>
      </c>
      <c r="B90" s="1" t="s">
        <v>1009</v>
      </c>
      <c r="C90" s="1" t="s">
        <v>1045</v>
      </c>
      <c r="D90" s="1" t="s">
        <v>585</v>
      </c>
      <c r="E90" s="1" t="s">
        <v>1046</v>
      </c>
      <c r="F90" s="1" t="s">
        <v>1047</v>
      </c>
      <c r="G90" s="1" t="s">
        <v>1048</v>
      </c>
      <c r="H90" s="1" t="s">
        <v>1049</v>
      </c>
      <c r="I90" s="1" t="s">
        <v>1050</v>
      </c>
      <c r="J90" s="1" t="s">
        <v>1051</v>
      </c>
      <c r="K90" s="1" t="s">
        <v>692</v>
      </c>
      <c r="L90" s="2"/>
      <c r="M90" s="2"/>
      <c r="N90" s="2"/>
      <c r="O90" s="2"/>
      <c r="P90" s="2"/>
      <c r="Q90" s="2"/>
      <c r="R90" s="2"/>
      <c r="S90" s="2"/>
      <c r="T90" s="2"/>
      <c r="U90" s="2"/>
      <c r="V90" s="2"/>
      <c r="W90" s="2"/>
      <c r="X90" s="2"/>
      <c r="Y90" s="2"/>
      <c r="Z90" s="2"/>
    </row>
    <row r="91" ht="15.75" customHeight="1">
      <c r="A91" s="1" t="s">
        <v>1052</v>
      </c>
      <c r="B91" s="1" t="s">
        <v>1053</v>
      </c>
      <c r="C91" s="1" t="s">
        <v>1054</v>
      </c>
      <c r="D91" s="1" t="s">
        <v>1055</v>
      </c>
      <c r="E91" s="1" t="s">
        <v>1056</v>
      </c>
      <c r="F91" s="1" t="s">
        <v>1057</v>
      </c>
      <c r="G91" s="1" t="s">
        <v>1058</v>
      </c>
      <c r="H91" s="1" t="s">
        <v>1059</v>
      </c>
      <c r="I91" s="1" t="s">
        <v>1060</v>
      </c>
      <c r="J91" s="1" t="s">
        <v>1061</v>
      </c>
      <c r="K91" s="1" t="s">
        <v>1062</v>
      </c>
      <c r="L91" s="2"/>
      <c r="M91" s="2"/>
      <c r="N91" s="2"/>
      <c r="O91" s="2"/>
      <c r="P91" s="2"/>
      <c r="Q91" s="2"/>
      <c r="R91" s="2"/>
      <c r="S91" s="2"/>
      <c r="T91" s="2"/>
      <c r="U91" s="2"/>
      <c r="V91" s="2"/>
      <c r="W91" s="2"/>
      <c r="X91" s="2"/>
      <c r="Y91" s="2"/>
      <c r="Z91" s="2"/>
    </row>
    <row r="92" ht="15.75" customHeight="1">
      <c r="A92" s="1" t="s">
        <v>1063</v>
      </c>
      <c r="B92" s="1" t="s">
        <v>1064</v>
      </c>
      <c r="C92" s="1" t="s">
        <v>1065</v>
      </c>
      <c r="D92" s="1" t="s">
        <v>1066</v>
      </c>
      <c r="E92" s="1" t="s">
        <v>436</v>
      </c>
      <c r="F92" s="1" t="s">
        <v>839</v>
      </c>
      <c r="G92" s="1" t="s">
        <v>1067</v>
      </c>
      <c r="H92" s="1" t="s">
        <v>1068</v>
      </c>
      <c r="I92" s="1" t="s">
        <v>1069</v>
      </c>
      <c r="J92" s="1" t="s">
        <v>1070</v>
      </c>
      <c r="K92" s="1" t="s">
        <v>1071</v>
      </c>
      <c r="L92" s="2"/>
      <c r="M92" s="2"/>
      <c r="N92" s="2"/>
      <c r="O92" s="2"/>
      <c r="P92" s="2"/>
      <c r="Q92" s="2"/>
      <c r="R92" s="2"/>
      <c r="S92" s="2"/>
      <c r="T92" s="2"/>
      <c r="U92" s="2"/>
      <c r="V92" s="2"/>
      <c r="W92" s="2"/>
      <c r="X92" s="2"/>
      <c r="Y92" s="2"/>
      <c r="Z92" s="2"/>
    </row>
    <row r="93" ht="15.75" customHeight="1">
      <c r="A93" s="1" t="s">
        <v>1072</v>
      </c>
      <c r="B93" s="1" t="s">
        <v>1073</v>
      </c>
      <c r="C93" s="1" t="s">
        <v>409</v>
      </c>
      <c r="D93" s="1" t="s">
        <v>1074</v>
      </c>
      <c r="E93" s="1" t="s">
        <v>1075</v>
      </c>
      <c r="F93" s="1" t="s">
        <v>1076</v>
      </c>
      <c r="G93" s="1" t="s">
        <v>1077</v>
      </c>
      <c r="H93" s="1" t="s">
        <v>1078</v>
      </c>
      <c r="I93" s="1" t="s">
        <v>1079</v>
      </c>
      <c r="J93" s="1" t="s">
        <v>1080</v>
      </c>
      <c r="K93" s="1" t="s">
        <v>1081</v>
      </c>
      <c r="L93" s="2"/>
      <c r="M93" s="2"/>
      <c r="N93" s="2"/>
      <c r="O93" s="2"/>
      <c r="P93" s="2"/>
      <c r="Q93" s="2"/>
      <c r="R93" s="2"/>
      <c r="S93" s="2"/>
      <c r="T93" s="2"/>
      <c r="U93" s="2"/>
      <c r="V93" s="2"/>
      <c r="W93" s="2"/>
      <c r="X93" s="2"/>
      <c r="Y93" s="2"/>
      <c r="Z93" s="2"/>
    </row>
    <row r="94" ht="15.75" customHeight="1">
      <c r="A94" s="1" t="s">
        <v>1082</v>
      </c>
      <c r="B94" s="1" t="s">
        <v>441</v>
      </c>
      <c r="C94" s="1" t="s">
        <v>1083</v>
      </c>
      <c r="D94" s="1" t="s">
        <v>1084</v>
      </c>
      <c r="E94" s="1" t="s">
        <v>421</v>
      </c>
      <c r="F94" s="1" t="s">
        <v>1085</v>
      </c>
      <c r="G94" s="1" t="s">
        <v>1086</v>
      </c>
      <c r="H94" s="1" t="s">
        <v>1087</v>
      </c>
      <c r="I94" s="1" t="s">
        <v>397</v>
      </c>
      <c r="J94" s="1" t="s">
        <v>1088</v>
      </c>
      <c r="K94" s="1" t="s">
        <v>1089</v>
      </c>
      <c r="L94" s="2"/>
      <c r="M94" s="2"/>
      <c r="N94" s="2"/>
      <c r="O94" s="2"/>
      <c r="P94" s="2"/>
      <c r="Q94" s="2"/>
      <c r="R94" s="2"/>
      <c r="S94" s="2"/>
      <c r="T94" s="2"/>
      <c r="U94" s="2"/>
      <c r="V94" s="2"/>
      <c r="W94" s="2"/>
      <c r="X94" s="2"/>
      <c r="Y94" s="2"/>
      <c r="Z94" s="2"/>
    </row>
    <row r="95" ht="15.75" customHeight="1">
      <c r="A95" s="1" t="s">
        <v>1090</v>
      </c>
      <c r="B95" s="1" t="s">
        <v>1091</v>
      </c>
      <c r="C95" s="1" t="s">
        <v>1092</v>
      </c>
      <c r="D95" s="1" t="s">
        <v>1093</v>
      </c>
      <c r="E95" s="1" t="s">
        <v>1094</v>
      </c>
      <c r="F95" s="1" t="s">
        <v>391</v>
      </c>
      <c r="G95" s="1" t="s">
        <v>1095</v>
      </c>
      <c r="H95" s="1" t="s">
        <v>1096</v>
      </c>
      <c r="I95" s="1" t="s">
        <v>1097</v>
      </c>
      <c r="J95" s="1" t="s">
        <v>1098</v>
      </c>
      <c r="K95" s="1" t="s">
        <v>1099</v>
      </c>
      <c r="L95" s="2"/>
      <c r="M95" s="2"/>
      <c r="N95" s="2"/>
      <c r="O95" s="2"/>
      <c r="P95" s="2"/>
      <c r="Q95" s="2"/>
      <c r="R95" s="2"/>
      <c r="S95" s="2"/>
      <c r="T95" s="2"/>
      <c r="U95" s="2"/>
      <c r="V95" s="2"/>
      <c r="W95" s="2"/>
      <c r="X95" s="2"/>
      <c r="Y95" s="2"/>
      <c r="Z95" s="2"/>
    </row>
    <row r="96" ht="15.75" customHeight="1">
      <c r="A96" s="1" t="s">
        <v>1100</v>
      </c>
      <c r="B96" s="1" t="s">
        <v>419</v>
      </c>
      <c r="C96" s="1" t="s">
        <v>670</v>
      </c>
      <c r="D96" s="1" t="s">
        <v>1101</v>
      </c>
      <c r="E96" s="1" t="s">
        <v>1102</v>
      </c>
      <c r="F96" s="1" t="s">
        <v>1103</v>
      </c>
      <c r="G96" s="1" t="s">
        <v>1104</v>
      </c>
      <c r="H96" s="1" t="s">
        <v>1105</v>
      </c>
      <c r="I96" s="1" t="s">
        <v>288</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1110</v>
      </c>
      <c r="D97" s="1" t="s">
        <v>1111</v>
      </c>
      <c r="E97" s="1" t="s">
        <v>1112</v>
      </c>
      <c r="F97" s="1" t="s">
        <v>1113</v>
      </c>
      <c r="G97" s="1" t="s">
        <v>1114</v>
      </c>
      <c r="H97" s="1" t="s">
        <v>1115</v>
      </c>
      <c r="I97" s="1" t="s">
        <v>385</v>
      </c>
      <c r="J97" s="1" t="s">
        <v>1116</v>
      </c>
      <c r="K97" s="1" t="s">
        <v>1093</v>
      </c>
      <c r="L97" s="2"/>
      <c r="M97" s="2"/>
      <c r="N97" s="2"/>
      <c r="O97" s="2"/>
      <c r="P97" s="2"/>
      <c r="Q97" s="2"/>
      <c r="R97" s="2"/>
      <c r="S97" s="2"/>
      <c r="T97" s="2"/>
      <c r="U97" s="2"/>
      <c r="V97" s="2"/>
      <c r="W97" s="2"/>
      <c r="X97" s="2"/>
      <c r="Y97" s="2"/>
      <c r="Z97" s="2"/>
    </row>
    <row r="98" ht="15.75" customHeight="1">
      <c r="A98" s="1" t="s">
        <v>1117</v>
      </c>
      <c r="B98" s="1" t="s">
        <v>1118</v>
      </c>
      <c r="C98" s="1" t="s">
        <v>1119</v>
      </c>
      <c r="D98" s="1" t="s">
        <v>1120</v>
      </c>
      <c r="E98" s="1" t="s">
        <v>1121</v>
      </c>
      <c r="F98" s="1" t="s">
        <v>1122</v>
      </c>
      <c r="G98" s="1" t="s">
        <v>1123</v>
      </c>
      <c r="H98" s="1" t="s">
        <v>1124</v>
      </c>
      <c r="I98" s="1" t="s">
        <v>1125</v>
      </c>
      <c r="J98" s="1" t="s">
        <v>1126</v>
      </c>
      <c r="K98" s="1" t="s">
        <v>1127</v>
      </c>
      <c r="L98" s="2"/>
      <c r="M98" s="2"/>
      <c r="N98" s="2"/>
      <c r="O98" s="2"/>
      <c r="P98" s="2"/>
      <c r="Q98" s="2"/>
      <c r="R98" s="2"/>
      <c r="S98" s="2"/>
      <c r="T98" s="2"/>
      <c r="U98" s="2"/>
      <c r="V98" s="2"/>
      <c r="W98" s="2"/>
      <c r="X98" s="2"/>
      <c r="Y98" s="2"/>
      <c r="Z98" s="2"/>
    </row>
    <row r="99" ht="15.75" customHeight="1">
      <c r="A99" s="1" t="s">
        <v>1128</v>
      </c>
      <c r="B99" s="1" t="s">
        <v>1129</v>
      </c>
      <c r="C99" s="1" t="s">
        <v>1130</v>
      </c>
      <c r="D99" s="1" t="s">
        <v>550</v>
      </c>
      <c r="E99" s="1" t="s">
        <v>1131</v>
      </c>
      <c r="F99" s="1" t="s">
        <v>1132</v>
      </c>
      <c r="G99" s="1" t="s">
        <v>1133</v>
      </c>
      <c r="H99" s="1" t="s">
        <v>1134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364</v>
      </c>
      <c r="E100" s="1" t="s">
        <v>1141</v>
      </c>
      <c r="F100" s="1" t="s">
        <v>1142</v>
      </c>
      <c r="G100" s="1" t="s">
        <v>331</v>
      </c>
      <c r="H100" s="1" t="s">
        <v>1143</v>
      </c>
      <c r="I100" s="1" t="s">
        <v>1144</v>
      </c>
      <c r="J100" s="1" t="s">
        <v>1145</v>
      </c>
      <c r="K100" s="1" t="s">
        <v>928</v>
      </c>
      <c r="L100" s="2"/>
      <c r="M100" s="2"/>
      <c r="N100" s="2"/>
      <c r="O100" s="2"/>
      <c r="P100" s="2"/>
      <c r="Q100" s="2"/>
      <c r="R100" s="2"/>
      <c r="S100" s="2"/>
      <c r="T100" s="2"/>
      <c r="U100" s="2"/>
      <c r="V100" s="2"/>
      <c r="W100" s="2"/>
      <c r="X100" s="2"/>
      <c r="Y100" s="2"/>
      <c r="Z100" s="2"/>
    </row>
    <row r="101" ht="15.75" customHeight="1">
      <c r="A101" s="1" t="s">
        <v>1146</v>
      </c>
      <c r="B101" s="1" t="s">
        <v>1147</v>
      </c>
      <c r="C101" s="1" t="s">
        <v>1148</v>
      </c>
      <c r="D101" s="1" t="s">
        <v>1149</v>
      </c>
      <c r="E101" s="1" t="s">
        <v>1150</v>
      </c>
      <c r="F101" s="1" t="s">
        <v>1151</v>
      </c>
      <c r="G101" s="1" t="s">
        <v>1152</v>
      </c>
      <c r="H101" s="1" t="s">
        <v>1153</v>
      </c>
      <c r="I101" s="1" t="s">
        <v>1154</v>
      </c>
      <c r="J101" s="1" t="s">
        <v>1155</v>
      </c>
      <c r="K101" s="1" t="s">
        <v>1156</v>
      </c>
      <c r="L101" s="2"/>
      <c r="M101" s="2"/>
      <c r="N101" s="2"/>
      <c r="O101" s="2"/>
      <c r="P101" s="2"/>
      <c r="Q101" s="2"/>
      <c r="R101" s="2"/>
      <c r="S101" s="2"/>
      <c r="T101" s="2"/>
      <c r="U101" s="2"/>
      <c r="V101" s="2"/>
      <c r="W101" s="2"/>
      <c r="X101" s="2"/>
      <c r="Y101" s="2"/>
      <c r="Z101" s="2"/>
    </row>
    <row r="102" ht="15.75" customHeight="1">
      <c r="A102" s="1" t="s">
        <v>1157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1158</v>
      </c>
      <c r="B103" s="1" t="s">
        <v>1159</v>
      </c>
      <c r="C103" s="1" t="s">
        <v>371</v>
      </c>
      <c r="D103" s="1" t="s">
        <v>1160</v>
      </c>
      <c r="E103" s="1" t="s">
        <v>1161</v>
      </c>
      <c r="F103" s="1" t="s">
        <v>1162</v>
      </c>
      <c r="G103" s="1" t="s">
        <v>855</v>
      </c>
      <c r="H103" s="1" t="s">
        <v>1163</v>
      </c>
      <c r="I103" s="1" t="s">
        <v>972</v>
      </c>
      <c r="J103" s="1" t="s">
        <v>1164</v>
      </c>
      <c r="K103" s="1" t="s">
        <v>787</v>
      </c>
      <c r="L103" s="2"/>
      <c r="M103" s="2"/>
      <c r="N103" s="2"/>
      <c r="O103" s="2"/>
      <c r="P103" s="2"/>
      <c r="Q103" s="2"/>
      <c r="R103" s="2"/>
      <c r="S103" s="2"/>
      <c r="T103" s="2"/>
      <c r="U103" s="2"/>
      <c r="V103" s="2"/>
      <c r="W103" s="2"/>
      <c r="X103" s="2"/>
      <c r="Y103" s="2"/>
      <c r="Z103" s="2"/>
    </row>
    <row r="104" ht="15.75" customHeight="1">
      <c r="A104" s="1" t="s">
        <v>1165</v>
      </c>
      <c r="B104" s="1" t="s">
        <v>460</v>
      </c>
      <c r="C104" s="1" t="s">
        <v>1166</v>
      </c>
      <c r="D104" s="1" t="s">
        <v>1167</v>
      </c>
      <c r="E104" s="1" t="s">
        <v>1168</v>
      </c>
      <c r="F104" s="1" t="s">
        <v>1169</v>
      </c>
      <c r="G104" s="1" t="s">
        <v>1170</v>
      </c>
      <c r="H104" s="1" t="s">
        <v>1171</v>
      </c>
      <c r="I104" s="1" t="s">
        <v>1172</v>
      </c>
      <c r="J104" s="1" t="s">
        <v>1173</v>
      </c>
      <c r="K104" s="1" t="s">
        <v>758</v>
      </c>
      <c r="L104" s="2"/>
      <c r="M104" s="2"/>
      <c r="N104" s="2"/>
      <c r="O104" s="2"/>
      <c r="P104" s="2"/>
      <c r="Q104" s="2"/>
      <c r="R104" s="2"/>
      <c r="S104" s="2"/>
      <c r="T104" s="2"/>
      <c r="U104" s="2"/>
      <c r="V104" s="2"/>
      <c r="W104" s="2"/>
      <c r="X104" s="2"/>
      <c r="Y104" s="2"/>
      <c r="Z104" s="2"/>
    </row>
    <row r="105" ht="15.75" customHeight="1">
      <c r="A105" s="1" t="s">
        <v>1174</v>
      </c>
      <c r="B105" s="1" t="s">
        <v>1175</v>
      </c>
      <c r="C105" s="1" t="s">
        <v>1176</v>
      </c>
      <c r="D105" s="1" t="s">
        <v>794</v>
      </c>
      <c r="E105" s="1" t="s">
        <v>1177</v>
      </c>
      <c r="F105" s="1" t="s">
        <v>1177</v>
      </c>
      <c r="G105" s="1" t="s">
        <v>1178</v>
      </c>
      <c r="H105" s="1" t="s">
        <v>1179</v>
      </c>
      <c r="I105" s="1" t="s">
        <v>1180</v>
      </c>
      <c r="J105" s="1" t="s">
        <v>1181</v>
      </c>
      <c r="K105" s="1" t="s">
        <v>1182</v>
      </c>
      <c r="L105" s="2"/>
      <c r="M105" s="2"/>
      <c r="N105" s="2"/>
      <c r="O105" s="2"/>
      <c r="P105" s="2"/>
      <c r="Q105" s="2"/>
      <c r="R105" s="2"/>
      <c r="S105" s="2"/>
      <c r="T105" s="2"/>
      <c r="U105" s="2"/>
      <c r="V105" s="2"/>
      <c r="W105" s="2"/>
      <c r="X105" s="2"/>
      <c r="Y105" s="2"/>
      <c r="Z105" s="2"/>
    </row>
    <row r="106" ht="15.75" customHeight="1">
      <c r="A106" s="1" t="s">
        <v>1183</v>
      </c>
      <c r="B106" s="1" t="s">
        <v>1184</v>
      </c>
      <c r="C106" s="1" t="s">
        <v>1185</v>
      </c>
      <c r="D106" s="1" t="s">
        <v>974</v>
      </c>
      <c r="E106" s="1" t="s">
        <v>1186</v>
      </c>
      <c r="F106" s="1" t="s">
        <v>1187</v>
      </c>
      <c r="G106" s="1" t="s">
        <v>1188</v>
      </c>
      <c r="H106" s="1" t="s">
        <v>1189</v>
      </c>
      <c r="I106" s="1" t="s">
        <v>451</v>
      </c>
      <c r="J106" s="1" t="s">
        <v>287</v>
      </c>
      <c r="K106" s="1" t="s">
        <v>1190</v>
      </c>
      <c r="L106" s="2"/>
      <c r="M106" s="2"/>
      <c r="N106" s="2"/>
      <c r="O106" s="2"/>
      <c r="P106" s="2"/>
      <c r="Q106" s="2"/>
      <c r="R106" s="2"/>
      <c r="S106" s="2"/>
      <c r="T106" s="2"/>
      <c r="U106" s="2"/>
      <c r="V106" s="2"/>
      <c r="W106" s="2"/>
      <c r="X106" s="2"/>
      <c r="Y106" s="2"/>
      <c r="Z106" s="2"/>
    </row>
    <row r="107" ht="15.75" customHeight="1">
      <c r="A107" s="1" t="s">
        <v>1191</v>
      </c>
      <c r="B107" s="1" t="s">
        <v>1192</v>
      </c>
      <c r="C107" s="1" t="s">
        <v>1193</v>
      </c>
      <c r="D107" s="1" t="s">
        <v>790</v>
      </c>
      <c r="E107" s="1" t="s">
        <v>1194</v>
      </c>
      <c r="F107" s="1" t="s">
        <v>1195</v>
      </c>
      <c r="G107" s="1" t="s">
        <v>1196</v>
      </c>
      <c r="H107" s="1" t="s">
        <v>1197</v>
      </c>
      <c r="I107" s="1" t="s">
        <v>460</v>
      </c>
      <c r="J107" s="1" t="s">
        <v>1198</v>
      </c>
      <c r="K107" s="1" t="s">
        <v>1199</v>
      </c>
      <c r="L107" s="2"/>
      <c r="M107" s="2"/>
      <c r="N107" s="2"/>
      <c r="O107" s="2"/>
      <c r="P107" s="2"/>
      <c r="Q107" s="2"/>
      <c r="R107" s="2"/>
      <c r="S107" s="2"/>
      <c r="T107" s="2"/>
      <c r="U107" s="2"/>
      <c r="V107" s="2"/>
      <c r="W107" s="2"/>
      <c r="X107" s="2"/>
      <c r="Y107" s="2"/>
      <c r="Z107" s="2"/>
    </row>
    <row r="108" ht="15.75" customHeight="1">
      <c r="A108" s="1" t="s">
        <v>1200</v>
      </c>
      <c r="B108" s="1" t="s">
        <v>1201</v>
      </c>
      <c r="C108" s="1" t="s">
        <v>1202</v>
      </c>
      <c r="D108" s="1" t="s">
        <v>1203</v>
      </c>
      <c r="E108" s="1" t="s">
        <v>1204</v>
      </c>
      <c r="F108" s="1" t="s">
        <v>1205</v>
      </c>
      <c r="G108" s="1" t="s">
        <v>1206</v>
      </c>
      <c r="H108" s="1" t="s">
        <v>601</v>
      </c>
      <c r="I108" s="1" t="s">
        <v>1207</v>
      </c>
      <c r="J108" s="1" t="s">
        <v>1208</v>
      </c>
      <c r="K108" s="1" t="s">
        <v>1209</v>
      </c>
      <c r="L108" s="2"/>
      <c r="M108" s="2"/>
      <c r="N108" s="2"/>
      <c r="O108" s="2"/>
      <c r="P108" s="2"/>
      <c r="Q108" s="2"/>
      <c r="R108" s="2"/>
      <c r="S108" s="2"/>
      <c r="T108" s="2"/>
      <c r="U108" s="2"/>
      <c r="V108" s="2"/>
      <c r="W108" s="2"/>
      <c r="X108" s="2"/>
      <c r="Y108" s="2"/>
      <c r="Z108" s="2"/>
    </row>
    <row r="109" ht="15.75" customHeight="1">
      <c r="A109" s="1" t="s">
        <v>1210</v>
      </c>
      <c r="B109" s="1" t="s">
        <v>1201</v>
      </c>
      <c r="C109" s="1" t="s">
        <v>1202</v>
      </c>
      <c r="D109" s="1" t="s">
        <v>1203</v>
      </c>
      <c r="E109" s="1" t="s">
        <v>1204</v>
      </c>
      <c r="F109" s="1" t="s">
        <v>1211</v>
      </c>
      <c r="G109" s="1" t="s">
        <v>1212</v>
      </c>
      <c r="H109" s="1" t="s">
        <v>1213</v>
      </c>
      <c r="I109" s="1" t="s">
        <v>1214</v>
      </c>
      <c r="J109" s="1" t="s">
        <v>1208</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1220</v>
      </c>
      <c r="F110" s="1" t="s">
        <v>1221</v>
      </c>
      <c r="G110" s="1" t="s">
        <v>1222</v>
      </c>
      <c r="H110" s="1" t="s">
        <v>1223</v>
      </c>
      <c r="I110" s="1" t="s">
        <v>1224</v>
      </c>
      <c r="J110" s="1" t="s">
        <v>1188</v>
      </c>
      <c r="K110" s="1" t="s">
        <v>1225</v>
      </c>
      <c r="L110" s="2"/>
      <c r="M110" s="2"/>
      <c r="N110" s="2"/>
      <c r="O110" s="2"/>
      <c r="P110" s="2"/>
      <c r="Q110" s="2"/>
      <c r="R110" s="2"/>
      <c r="S110" s="2"/>
      <c r="T110" s="2"/>
      <c r="U110" s="2"/>
      <c r="V110" s="2"/>
      <c r="W110" s="2"/>
      <c r="X110" s="2"/>
      <c r="Y110" s="2"/>
      <c r="Z110" s="2"/>
    </row>
    <row r="111" ht="15.75" customHeight="1">
      <c r="A111" s="1" t="s">
        <v>1226</v>
      </c>
      <c r="B111" s="1" t="s">
        <v>1227</v>
      </c>
      <c r="C111" s="1" t="s">
        <v>1228</v>
      </c>
      <c r="D111" s="1" t="s">
        <v>1229</v>
      </c>
      <c r="E111" s="1" t="s">
        <v>1230</v>
      </c>
      <c r="F111" s="1" t="s">
        <v>1231</v>
      </c>
      <c r="G111" s="1" t="s">
        <v>1160</v>
      </c>
      <c r="H111" s="1" t="s">
        <v>1232</v>
      </c>
      <c r="I111" s="1" t="s">
        <v>1233</v>
      </c>
      <c r="J111" s="1" t="s">
        <v>1234</v>
      </c>
      <c r="K111" s="1" t="s">
        <v>1235</v>
      </c>
      <c r="L111" s="2"/>
      <c r="M111" s="2"/>
      <c r="N111" s="2"/>
      <c r="O111" s="2"/>
      <c r="P111" s="2"/>
      <c r="Q111" s="2"/>
      <c r="R111" s="2"/>
      <c r="S111" s="2"/>
      <c r="T111" s="2"/>
      <c r="U111" s="2"/>
      <c r="V111" s="2"/>
      <c r="W111" s="2"/>
      <c r="X111" s="2"/>
      <c r="Y111" s="2"/>
      <c r="Z111" s="2"/>
    </row>
    <row r="112" ht="15.75" customHeight="1">
      <c r="A112" s="1" t="s">
        <v>1236</v>
      </c>
      <c r="B112" s="1" t="s">
        <v>456</v>
      </c>
      <c r="C112" s="1" t="s">
        <v>1237</v>
      </c>
      <c r="D112" s="1" t="s">
        <v>712</v>
      </c>
      <c r="E112" s="1" t="s">
        <v>1238</v>
      </c>
      <c r="F112" s="1" t="s">
        <v>201</v>
      </c>
      <c r="G112" s="1" t="s">
        <v>1239</v>
      </c>
      <c r="H112" s="1" t="s">
        <v>1240</v>
      </c>
      <c r="I112" s="1" t="s">
        <v>1241</v>
      </c>
      <c r="J112" s="1" t="s">
        <v>1242</v>
      </c>
      <c r="K112" s="1" t="s">
        <v>1243</v>
      </c>
      <c r="L112" s="2"/>
      <c r="M112" s="2"/>
      <c r="N112" s="2"/>
      <c r="O112" s="2"/>
      <c r="P112" s="2"/>
      <c r="Q112" s="2"/>
      <c r="R112" s="2"/>
      <c r="S112" s="2"/>
      <c r="T112" s="2"/>
      <c r="U112" s="2"/>
      <c r="V112" s="2"/>
      <c r="W112" s="2"/>
      <c r="X112" s="2"/>
      <c r="Y112" s="2"/>
      <c r="Z112" s="2"/>
    </row>
    <row r="113" ht="15.75" customHeight="1">
      <c r="A113" s="1" t="s">
        <v>1244</v>
      </c>
      <c r="B113" s="1" t="s">
        <v>1245</v>
      </c>
      <c r="C113" s="1" t="s">
        <v>1246</v>
      </c>
      <c r="D113" s="1" t="s">
        <v>1247</v>
      </c>
      <c r="E113" s="1" t="s">
        <v>1248</v>
      </c>
      <c r="F113" s="1" t="s">
        <v>1249</v>
      </c>
      <c r="G113" s="1" t="s">
        <v>1250</v>
      </c>
      <c r="H113" s="1" t="s">
        <v>539</v>
      </c>
      <c r="I113" s="1" t="s">
        <v>1251</v>
      </c>
      <c r="J113" s="1" t="s">
        <v>1252</v>
      </c>
      <c r="K113" s="1" t="s">
        <v>1253</v>
      </c>
      <c r="L113" s="2"/>
      <c r="M113" s="2"/>
      <c r="N113" s="2"/>
      <c r="O113" s="2"/>
      <c r="P113" s="2"/>
      <c r="Q113" s="2"/>
      <c r="R113" s="2"/>
      <c r="S113" s="2"/>
      <c r="T113" s="2"/>
      <c r="U113" s="2"/>
      <c r="V113" s="2"/>
      <c r="W113" s="2"/>
      <c r="X113" s="2"/>
      <c r="Y113" s="2"/>
      <c r="Z113" s="2"/>
    </row>
    <row r="114" ht="15.75" customHeight="1">
      <c r="A114" s="1" t="s">
        <v>1254</v>
      </c>
      <c r="B114" s="1" t="s">
        <v>793</v>
      </c>
      <c r="C114" s="1" t="s">
        <v>1255</v>
      </c>
      <c r="D114" s="1" t="s">
        <v>289</v>
      </c>
      <c r="E114" s="1" t="s">
        <v>1256</v>
      </c>
      <c r="F114" s="1" t="s">
        <v>1257</v>
      </c>
      <c r="G114" s="1" t="s">
        <v>332</v>
      </c>
      <c r="H114" s="1" t="s">
        <v>1258</v>
      </c>
      <c r="I114" s="1" t="s">
        <v>1259</v>
      </c>
      <c r="J114" s="1" t="s">
        <v>1260</v>
      </c>
      <c r="K114" s="1" t="s">
        <v>1261</v>
      </c>
      <c r="L114" s="2"/>
      <c r="M114" s="2"/>
      <c r="N114" s="2"/>
      <c r="O114" s="2"/>
      <c r="P114" s="2"/>
      <c r="Q114" s="2"/>
      <c r="R114" s="2"/>
      <c r="S114" s="2"/>
      <c r="T114" s="2"/>
      <c r="U114" s="2"/>
      <c r="V114" s="2"/>
      <c r="W114" s="2"/>
      <c r="X114" s="2"/>
      <c r="Y114" s="2"/>
      <c r="Z114" s="2"/>
    </row>
    <row r="115" ht="15.75" customHeight="1">
      <c r="A115" s="1" t="s">
        <v>1262</v>
      </c>
      <c r="B115" s="1" t="s">
        <v>1263</v>
      </c>
      <c r="C115" s="1" t="s">
        <v>1264</v>
      </c>
      <c r="D115" s="1" t="s">
        <v>1265</v>
      </c>
      <c r="E115" s="1" t="s">
        <v>1266</v>
      </c>
      <c r="F115" s="1" t="s">
        <v>581</v>
      </c>
      <c r="G115" s="1" t="s">
        <v>1267</v>
      </c>
      <c r="H115" s="1" t="s">
        <v>300</v>
      </c>
      <c r="I115" s="1" t="s">
        <v>373</v>
      </c>
      <c r="J115" s="1" t="s">
        <v>1268</v>
      </c>
      <c r="K115" s="1" t="s">
        <v>1269</v>
      </c>
      <c r="L115" s="2"/>
      <c r="M115" s="2"/>
      <c r="N115" s="2"/>
      <c r="O115" s="2"/>
      <c r="P115" s="2"/>
      <c r="Q115" s="2"/>
      <c r="R115" s="2"/>
      <c r="S115" s="2"/>
      <c r="T115" s="2"/>
      <c r="U115" s="2"/>
      <c r="V115" s="2"/>
      <c r="W115" s="2"/>
      <c r="X115" s="2"/>
      <c r="Y115" s="2"/>
      <c r="Z115" s="2"/>
    </row>
    <row r="116" ht="15.75" customHeight="1">
      <c r="A116" s="1" t="s">
        <v>1270</v>
      </c>
      <c r="B116" s="1" t="s">
        <v>1271</v>
      </c>
      <c r="C116" s="1" t="s">
        <v>1272</v>
      </c>
      <c r="D116" s="1" t="s">
        <v>1273</v>
      </c>
      <c r="E116" s="1" t="s">
        <v>1274</v>
      </c>
      <c r="F116" s="1" t="s">
        <v>1048</v>
      </c>
      <c r="G116" s="1" t="s">
        <v>1275</v>
      </c>
      <c r="H116" s="1" t="s">
        <v>1276</v>
      </c>
      <c r="I116" s="1" t="s">
        <v>1277</v>
      </c>
      <c r="J116" s="1" t="s">
        <v>1278</v>
      </c>
      <c r="K116" s="1" t="s">
        <v>1279</v>
      </c>
      <c r="L116" s="2"/>
      <c r="M116" s="2"/>
      <c r="N116" s="2"/>
      <c r="O116" s="2"/>
      <c r="P116" s="2"/>
      <c r="Q116" s="2"/>
      <c r="R116" s="2"/>
      <c r="S116" s="2"/>
      <c r="T116" s="2"/>
      <c r="U116" s="2"/>
      <c r="V116" s="2"/>
      <c r="W116" s="2"/>
      <c r="X116" s="2"/>
      <c r="Y116" s="2"/>
      <c r="Z116" s="2"/>
    </row>
    <row r="117" ht="15.75" customHeight="1">
      <c r="A117" s="1" t="s">
        <v>1280</v>
      </c>
      <c r="B117" s="1" t="s">
        <v>1281</v>
      </c>
      <c r="C117" s="1" t="s">
        <v>1282</v>
      </c>
      <c r="D117" s="1" t="s">
        <v>1283</v>
      </c>
      <c r="E117" s="1" t="s">
        <v>1276</v>
      </c>
      <c r="F117" s="1" t="s">
        <v>1284</v>
      </c>
      <c r="G117" s="1" t="s">
        <v>1285</v>
      </c>
      <c r="H117" s="1" t="s">
        <v>1286</v>
      </c>
      <c r="I117" s="1" t="s">
        <v>1287</v>
      </c>
      <c r="J117" s="1" t="s">
        <v>1288</v>
      </c>
      <c r="K117" s="1" t="s">
        <v>1289</v>
      </c>
      <c r="L117" s="2"/>
      <c r="M117" s="2"/>
      <c r="N117" s="2"/>
      <c r="O117" s="2"/>
      <c r="P117" s="2"/>
      <c r="Q117" s="2"/>
      <c r="R117" s="2"/>
      <c r="S117" s="2"/>
      <c r="T117" s="2"/>
      <c r="U117" s="2"/>
      <c r="V117" s="2"/>
      <c r="W117" s="2"/>
      <c r="X117" s="2"/>
      <c r="Y117" s="2"/>
      <c r="Z117" s="2"/>
    </row>
    <row r="118" ht="15.75" customHeight="1">
      <c r="A118" s="1" t="s">
        <v>1290</v>
      </c>
      <c r="B118" s="1" t="s">
        <v>983</v>
      </c>
      <c r="C118" s="1" t="s">
        <v>1291</v>
      </c>
      <c r="D118" s="1" t="s">
        <v>1292</v>
      </c>
      <c r="E118" s="1" t="s">
        <v>289</v>
      </c>
      <c r="F118" s="1" t="s">
        <v>1293</v>
      </c>
      <c r="G118" s="1" t="s">
        <v>1294</v>
      </c>
      <c r="H118" s="1" t="s">
        <v>1295</v>
      </c>
      <c r="I118" s="1" t="s">
        <v>1296</v>
      </c>
      <c r="J118" s="1" t="s">
        <v>1297</v>
      </c>
      <c r="K118" s="1" t="s">
        <v>1246</v>
      </c>
      <c r="L118" s="2"/>
      <c r="M118" s="2"/>
      <c r="N118" s="2"/>
      <c r="O118" s="2"/>
      <c r="P118" s="2"/>
      <c r="Q118" s="2"/>
      <c r="R118" s="2"/>
      <c r="S118" s="2"/>
      <c r="T118" s="2"/>
      <c r="U118" s="2"/>
      <c r="V118" s="2"/>
      <c r="W118" s="2"/>
      <c r="X118" s="2"/>
      <c r="Y118" s="2"/>
      <c r="Z118" s="2"/>
    </row>
    <row r="119" ht="15.75" customHeight="1">
      <c r="A119" s="1" t="s">
        <v>1298</v>
      </c>
      <c r="B119" s="1" t="s">
        <v>1299</v>
      </c>
      <c r="C119" s="1" t="s">
        <v>1300</v>
      </c>
      <c r="D119" s="1" t="s">
        <v>1301</v>
      </c>
      <c r="E119" s="1" t="s">
        <v>1302</v>
      </c>
      <c r="F119" s="1" t="s">
        <v>1303</v>
      </c>
      <c r="G119" s="1" t="s">
        <v>1304</v>
      </c>
      <c r="H119" s="1" t="s">
        <v>911</v>
      </c>
      <c r="I119" s="1" t="s">
        <v>944</v>
      </c>
      <c r="J119" s="1" t="s">
        <v>1305</v>
      </c>
      <c r="K119" s="1" t="s">
        <v>1306</v>
      </c>
      <c r="L119" s="2"/>
      <c r="M119" s="2"/>
      <c r="N119" s="2"/>
      <c r="O119" s="2"/>
      <c r="P119" s="2"/>
      <c r="Q119" s="2"/>
      <c r="R119" s="2"/>
      <c r="S119" s="2"/>
      <c r="T119" s="2"/>
      <c r="U119" s="2"/>
      <c r="V119" s="2"/>
      <c r="W119" s="2"/>
      <c r="X119" s="2"/>
      <c r="Y119" s="2"/>
      <c r="Z119" s="2"/>
    </row>
    <row r="120" ht="15.75" customHeight="1">
      <c r="A120" s="1" t="s">
        <v>1307</v>
      </c>
      <c r="B120" s="1" t="s">
        <v>1308</v>
      </c>
      <c r="C120" s="1" t="s">
        <v>1309</v>
      </c>
      <c r="D120" s="1" t="s">
        <v>1310</v>
      </c>
      <c r="E120" s="1" t="s">
        <v>1311</v>
      </c>
      <c r="F120" s="1" t="s">
        <v>1312</v>
      </c>
      <c r="G120" s="1" t="s">
        <v>1313</v>
      </c>
      <c r="H120" s="1" t="s">
        <v>1314</v>
      </c>
      <c r="I120" s="1" t="s">
        <v>1315</v>
      </c>
      <c r="J120" s="1" t="s">
        <v>361</v>
      </c>
      <c r="K120" s="1" t="s">
        <v>1316</v>
      </c>
      <c r="L120" s="2"/>
      <c r="M120" s="2"/>
      <c r="N120" s="2"/>
      <c r="O120" s="2"/>
      <c r="P120" s="2"/>
      <c r="Q120" s="2"/>
      <c r="R120" s="2"/>
      <c r="S120" s="2"/>
      <c r="T120" s="2"/>
      <c r="U120" s="2"/>
      <c r="V120" s="2"/>
      <c r="W120" s="2"/>
      <c r="X120" s="2"/>
      <c r="Y120" s="2"/>
      <c r="Z120" s="2"/>
    </row>
    <row r="121" ht="15.75" customHeight="1">
      <c r="A121" s="1" t="s">
        <v>1317</v>
      </c>
      <c r="B121" s="1" t="s">
        <v>1318</v>
      </c>
      <c r="C121" s="1" t="s">
        <v>1319</v>
      </c>
      <c r="D121" s="1" t="s">
        <v>1320</v>
      </c>
      <c r="E121" s="1" t="s">
        <v>1321</v>
      </c>
      <c r="F121" s="1" t="s">
        <v>1322</v>
      </c>
      <c r="G121" s="1" t="s">
        <v>1323</v>
      </c>
      <c r="H121" s="1" t="s">
        <v>1324</v>
      </c>
      <c r="I121" s="1" t="s">
        <v>809</v>
      </c>
      <c r="J121" s="1" t="s">
        <v>1325</v>
      </c>
      <c r="K121" s="1" t="s">
        <v>1326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1327</v>
      </c>
      <c r="C1" s="1" t="s">
        <v>1328</v>
      </c>
      <c r="D1" s="1" t="s">
        <v>1329</v>
      </c>
      <c r="E1" s="1" t="s">
        <v>1330</v>
      </c>
      <c r="F1" s="1" t="s">
        <v>1331</v>
      </c>
      <c r="G1" s="1" t="s">
        <v>1332</v>
      </c>
      <c r="H1" s="1" t="s">
        <v>1333</v>
      </c>
      <c r="I1" s="1" t="s">
        <v>1334</v>
      </c>
      <c r="J1" s="2"/>
      <c r="K1" s="2"/>
      <c r="L1" s="2"/>
      <c r="M1" s="2"/>
      <c r="N1" s="2"/>
      <c r="O1" s="2"/>
      <c r="P1" s="2"/>
      <c r="Q1" s="2"/>
      <c r="R1" s="2"/>
      <c r="S1" s="2"/>
      <c r="T1" s="2"/>
      <c r="U1" s="2"/>
      <c r="V1" s="2"/>
      <c r="W1" s="2"/>
      <c r="X1" s="2"/>
      <c r="Y1" s="2"/>
      <c r="Z1" s="2"/>
    </row>
    <row r="2">
      <c r="A2" s="1" t="s">
        <v>1335</v>
      </c>
      <c r="B2" s="1" t="s">
        <v>1336</v>
      </c>
      <c r="C2" s="1" t="s">
        <v>1337</v>
      </c>
      <c r="D2" s="1" t="s">
        <v>1338</v>
      </c>
      <c r="E2" s="1" t="s">
        <v>1339</v>
      </c>
      <c r="F2" s="1" t="s">
        <v>1340</v>
      </c>
      <c r="G2" s="1" t="s">
        <v>1341</v>
      </c>
      <c r="H2" s="1" t="s">
        <v>1342</v>
      </c>
      <c r="I2" s="1" t="s">
        <v>1342</v>
      </c>
      <c r="J2" s="2"/>
      <c r="K2" s="2"/>
      <c r="L2" s="2"/>
      <c r="M2" s="2"/>
      <c r="N2" s="2"/>
      <c r="O2" s="2"/>
      <c r="P2" s="2"/>
      <c r="Q2" s="2"/>
      <c r="R2" s="2"/>
      <c r="S2" s="2"/>
      <c r="T2" s="2"/>
      <c r="U2" s="2"/>
      <c r="V2" s="2"/>
      <c r="W2" s="2"/>
      <c r="X2" s="2"/>
      <c r="Y2" s="2"/>
      <c r="Z2" s="2"/>
    </row>
    <row r="3">
      <c r="A3" s="1" t="s">
        <v>1343</v>
      </c>
      <c r="B3" s="1" t="s">
        <v>1342</v>
      </c>
      <c r="C3" s="1" t="s">
        <v>1344</v>
      </c>
      <c r="D3" s="1" t="s">
        <v>1345</v>
      </c>
      <c r="E3" s="1" t="s">
        <v>1346</v>
      </c>
      <c r="F3" s="1" t="s">
        <v>1347</v>
      </c>
      <c r="G3" s="1" t="s">
        <v>1348</v>
      </c>
      <c r="H3" s="1" t="s">
        <v>1342</v>
      </c>
      <c r="I3" s="1" t="s">
        <v>1342</v>
      </c>
      <c r="J3" s="2"/>
      <c r="K3" s="2"/>
      <c r="L3" s="2"/>
      <c r="M3" s="2"/>
      <c r="N3" s="2"/>
      <c r="O3" s="2"/>
      <c r="P3" s="2"/>
      <c r="Q3" s="2"/>
      <c r="R3" s="2"/>
      <c r="S3" s="2"/>
      <c r="T3" s="2"/>
      <c r="U3" s="2"/>
      <c r="V3" s="2"/>
      <c r="W3" s="2"/>
      <c r="X3" s="2"/>
      <c r="Y3" s="2"/>
      <c r="Z3" s="2"/>
    </row>
    <row r="4">
      <c r="A4" s="1" t="s">
        <v>1349</v>
      </c>
      <c r="B4" s="1" t="s">
        <v>1350</v>
      </c>
      <c r="C4" s="1" t="s">
        <v>1351</v>
      </c>
      <c r="D4" s="1" t="s">
        <v>1352</v>
      </c>
      <c r="E4" s="1" t="s">
        <v>1339</v>
      </c>
      <c r="F4" s="1" t="s">
        <v>1340</v>
      </c>
      <c r="G4" s="1" t="s">
        <v>1341</v>
      </c>
      <c r="H4" s="1" t="s">
        <v>1341</v>
      </c>
      <c r="I4" s="1" t="s">
        <v>1341</v>
      </c>
      <c r="J4" s="2"/>
      <c r="K4" s="2"/>
      <c r="L4" s="2"/>
      <c r="M4" s="2"/>
      <c r="N4" s="2"/>
      <c r="O4" s="2"/>
      <c r="P4" s="2"/>
      <c r="Q4" s="2"/>
      <c r="R4" s="2"/>
      <c r="S4" s="2"/>
      <c r="T4" s="2"/>
      <c r="U4" s="2"/>
      <c r="V4" s="2"/>
      <c r="W4" s="2"/>
      <c r="X4" s="2"/>
      <c r="Y4" s="2"/>
      <c r="Z4" s="2"/>
    </row>
    <row r="5">
      <c r="A5" s="1" t="s">
        <v>1343</v>
      </c>
      <c r="B5" s="1" t="s">
        <v>1342</v>
      </c>
      <c r="C5" s="1" t="s">
        <v>1353</v>
      </c>
      <c r="D5" s="1" t="s">
        <v>1354</v>
      </c>
      <c r="E5" s="1" t="s">
        <v>1355</v>
      </c>
      <c r="F5" s="1" t="s">
        <v>1347</v>
      </c>
      <c r="G5" s="1" t="s">
        <v>1348</v>
      </c>
      <c r="H5" s="1" t="s">
        <v>1356</v>
      </c>
      <c r="I5" s="1" t="s">
        <v>1356</v>
      </c>
      <c r="J5" s="2"/>
      <c r="K5" s="2"/>
      <c r="L5" s="2"/>
      <c r="M5" s="2"/>
      <c r="N5" s="2"/>
      <c r="O5" s="2"/>
      <c r="P5" s="2"/>
      <c r="Q5" s="2"/>
      <c r="R5" s="2"/>
      <c r="S5" s="2"/>
      <c r="T5" s="2"/>
      <c r="U5" s="2"/>
      <c r="V5" s="2"/>
      <c r="W5" s="2"/>
      <c r="X5" s="2"/>
      <c r="Y5" s="2"/>
      <c r="Z5" s="2"/>
    </row>
    <row r="6">
      <c r="A6" s="1" t="s">
        <v>1357</v>
      </c>
      <c r="B6" s="1" t="s">
        <v>1358</v>
      </c>
      <c r="C6" s="1" t="s">
        <v>1359</v>
      </c>
      <c r="D6" s="1" t="s">
        <v>1360</v>
      </c>
      <c r="E6" s="1" t="s">
        <v>1361</v>
      </c>
      <c r="F6" s="1" t="s">
        <v>1362</v>
      </c>
      <c r="G6" s="1" t="s">
        <v>1363</v>
      </c>
      <c r="H6" s="1" t="s">
        <v>1364</v>
      </c>
      <c r="I6" s="1" t="s">
        <v>1365</v>
      </c>
      <c r="J6" s="2"/>
      <c r="K6" s="2"/>
      <c r="L6" s="2"/>
      <c r="M6" s="2"/>
      <c r="N6" s="2"/>
      <c r="O6" s="2"/>
      <c r="P6" s="2"/>
      <c r="Q6" s="2"/>
      <c r="R6" s="2"/>
      <c r="S6" s="2"/>
      <c r="T6" s="2"/>
      <c r="U6" s="2"/>
      <c r="V6" s="2"/>
      <c r="W6" s="2"/>
      <c r="X6" s="2"/>
      <c r="Y6" s="2"/>
      <c r="Z6" s="2"/>
    </row>
    <row r="7">
      <c r="A7" s="1" t="s">
        <v>1366</v>
      </c>
      <c r="B7" s="1" t="s">
        <v>1367</v>
      </c>
      <c r="C7" s="1" t="s">
        <v>1368</v>
      </c>
      <c r="D7" s="1" t="s">
        <v>1369</v>
      </c>
      <c r="E7" s="1" t="s">
        <v>1370</v>
      </c>
      <c r="F7" s="1" t="s">
        <v>1371</v>
      </c>
      <c r="G7" s="1" t="s">
        <v>1372</v>
      </c>
      <c r="H7" s="1" t="s">
        <v>1373</v>
      </c>
      <c r="I7" s="1" t="s">
        <v>1374</v>
      </c>
      <c r="J7" s="2"/>
      <c r="K7" s="2"/>
      <c r="L7" s="2"/>
      <c r="M7" s="2"/>
      <c r="N7" s="2"/>
      <c r="O7" s="2"/>
      <c r="P7" s="2"/>
      <c r="Q7" s="2"/>
      <c r="R7" s="2"/>
      <c r="S7" s="2"/>
      <c r="T7" s="2"/>
      <c r="U7" s="2"/>
      <c r="V7" s="2"/>
      <c r="W7" s="2"/>
      <c r="X7" s="2"/>
      <c r="Y7" s="2"/>
      <c r="Z7" s="2"/>
    </row>
    <row r="8">
      <c r="A8" s="1" t="s">
        <v>1375</v>
      </c>
      <c r="B8" s="1" t="s">
        <v>1342</v>
      </c>
      <c r="C8" s="1" t="s">
        <v>1376</v>
      </c>
      <c r="D8" s="1" t="s">
        <v>1377</v>
      </c>
      <c r="E8" s="1" t="s">
        <v>1378</v>
      </c>
      <c r="F8" s="1" t="s">
        <v>1379</v>
      </c>
      <c r="G8" s="1" t="s">
        <v>1376</v>
      </c>
      <c r="H8" s="1" t="s">
        <v>1380</v>
      </c>
      <c r="I8" s="1" t="s">
        <v>1381</v>
      </c>
      <c r="J8" s="2"/>
      <c r="K8" s="2"/>
      <c r="L8" s="2"/>
      <c r="M8" s="2"/>
      <c r="N8" s="2"/>
      <c r="O8" s="2"/>
      <c r="P8" s="2"/>
      <c r="Q8" s="2"/>
      <c r="R8" s="2"/>
      <c r="S8" s="2"/>
      <c r="T8" s="2"/>
      <c r="U8" s="2"/>
      <c r="V8" s="2"/>
      <c r="W8" s="2"/>
      <c r="X8" s="2"/>
      <c r="Y8" s="2"/>
      <c r="Z8" s="2"/>
    </row>
    <row r="9">
      <c r="A9" s="1" t="s">
        <v>1382</v>
      </c>
      <c r="B9" s="1" t="s">
        <v>1383</v>
      </c>
      <c r="C9" s="1" t="s">
        <v>1383</v>
      </c>
      <c r="D9" s="1" t="s">
        <v>1384</v>
      </c>
      <c r="E9" s="1" t="s">
        <v>1385</v>
      </c>
      <c r="F9" s="1" t="s">
        <v>1386</v>
      </c>
      <c r="G9" s="1" t="s">
        <v>1387</v>
      </c>
      <c r="H9" s="1" t="s">
        <v>1388</v>
      </c>
      <c r="I9" s="1" t="s">
        <v>1389</v>
      </c>
      <c r="J9" s="2"/>
      <c r="K9" s="2"/>
      <c r="L9" s="2"/>
      <c r="M9" s="2"/>
      <c r="N9" s="2"/>
      <c r="O9" s="2"/>
      <c r="P9" s="2"/>
      <c r="Q9" s="2"/>
      <c r="R9" s="2"/>
      <c r="S9" s="2"/>
      <c r="T9" s="2"/>
      <c r="U9" s="2"/>
      <c r="V9" s="2"/>
      <c r="W9" s="2"/>
      <c r="X9" s="2"/>
      <c r="Y9" s="2"/>
      <c r="Z9" s="2"/>
    </row>
    <row r="10">
      <c r="A10" s="1" t="s">
        <v>1390</v>
      </c>
      <c r="B10" s="1" t="s">
        <v>1379</v>
      </c>
      <c r="C10" s="1" t="s">
        <v>1379</v>
      </c>
      <c r="D10" s="1" t="s">
        <v>1379</v>
      </c>
      <c r="E10" s="1" t="s">
        <v>1379</v>
      </c>
      <c r="F10" s="1" t="s">
        <v>1379</v>
      </c>
      <c r="G10" s="1" t="s">
        <v>1387</v>
      </c>
      <c r="H10" s="1" t="s">
        <v>1388</v>
      </c>
      <c r="I10" s="1" t="s">
        <v>1389</v>
      </c>
      <c r="J10" s="2"/>
      <c r="K10" s="2"/>
      <c r="L10" s="2"/>
      <c r="M10" s="2"/>
      <c r="N10" s="2"/>
      <c r="O10" s="2"/>
      <c r="P10" s="2"/>
      <c r="Q10" s="2"/>
      <c r="R10" s="2"/>
      <c r="S10" s="2"/>
      <c r="T10" s="2"/>
      <c r="U10" s="2"/>
      <c r="V10" s="2"/>
      <c r="W10" s="2"/>
      <c r="X10" s="2"/>
      <c r="Y10" s="2"/>
      <c r="Z10" s="2"/>
    </row>
    <row r="11">
      <c r="A11" s="1" t="s">
        <v>1391</v>
      </c>
      <c r="B11" s="1" t="s">
        <v>1342</v>
      </c>
      <c r="C11" s="1" t="s">
        <v>1342</v>
      </c>
      <c r="D11" s="1" t="s">
        <v>1379</v>
      </c>
      <c r="E11" s="1" t="s">
        <v>1379</v>
      </c>
      <c r="F11" s="1" t="s">
        <v>1379</v>
      </c>
      <c r="G11" s="1" t="s">
        <v>1392</v>
      </c>
      <c r="H11" s="1" t="s">
        <v>1393</v>
      </c>
      <c r="I11" s="1" t="s">
        <v>1394</v>
      </c>
      <c r="J11" s="2"/>
      <c r="K11" s="2"/>
      <c r="L11" s="2"/>
      <c r="M11" s="2"/>
      <c r="N11" s="2"/>
      <c r="O11" s="2"/>
      <c r="P11" s="2"/>
      <c r="Q11" s="2"/>
      <c r="R11" s="2"/>
      <c r="S11" s="2"/>
      <c r="T11" s="2"/>
      <c r="U11" s="2"/>
      <c r="V11" s="2"/>
      <c r="W11" s="2"/>
      <c r="X11" s="2"/>
      <c r="Y11" s="2"/>
      <c r="Z11" s="2"/>
    </row>
    <row r="12">
      <c r="A12" s="1" t="s">
        <v>1395</v>
      </c>
      <c r="B12" s="1" t="s">
        <v>1379</v>
      </c>
      <c r="C12" s="1" t="s">
        <v>1379</v>
      </c>
      <c r="D12" s="1" t="s">
        <v>1379</v>
      </c>
      <c r="E12" s="1" t="s">
        <v>1379</v>
      </c>
      <c r="F12" s="1" t="s">
        <v>1342</v>
      </c>
      <c r="G12" s="1" t="s">
        <v>1396</v>
      </c>
      <c r="H12" s="1" t="s">
        <v>1397</v>
      </c>
      <c r="I12" s="1" t="s">
        <v>1398</v>
      </c>
      <c r="J12" s="2"/>
      <c r="K12" s="2"/>
      <c r="L12" s="2"/>
      <c r="M12" s="2"/>
      <c r="N12" s="2"/>
      <c r="O12" s="2"/>
      <c r="P12" s="2"/>
      <c r="Q12" s="2"/>
      <c r="R12" s="2"/>
      <c r="S12" s="2"/>
      <c r="T12" s="2"/>
      <c r="U12" s="2"/>
      <c r="V12" s="2"/>
      <c r="W12" s="2"/>
      <c r="X12" s="2"/>
      <c r="Y12" s="2"/>
      <c r="Z12" s="2"/>
    </row>
    <row r="13">
      <c r="A13" s="1" t="s">
        <v>1399</v>
      </c>
      <c r="B13" s="1" t="s">
        <v>1342</v>
      </c>
      <c r="C13" s="1" t="s">
        <v>1342</v>
      </c>
      <c r="D13" s="1" t="s">
        <v>1342</v>
      </c>
      <c r="E13" s="1" t="s">
        <v>1342</v>
      </c>
      <c r="F13" s="1" t="s">
        <v>1342</v>
      </c>
      <c r="G13" s="1" t="s">
        <v>1342</v>
      </c>
      <c r="H13" s="1" t="s">
        <v>1342</v>
      </c>
      <c r="I13" s="1" t="s">
        <v>1342</v>
      </c>
      <c r="J13" s="2"/>
      <c r="K13" s="2"/>
      <c r="L13" s="2"/>
      <c r="M13" s="2"/>
      <c r="N13" s="2"/>
      <c r="O13" s="2"/>
      <c r="P13" s="2"/>
      <c r="Q13" s="2"/>
      <c r="R13" s="2"/>
      <c r="S13" s="2"/>
      <c r="T13" s="2"/>
      <c r="U13" s="2"/>
      <c r="V13" s="2"/>
      <c r="W13" s="2"/>
      <c r="X13" s="2"/>
      <c r="Y13" s="2"/>
      <c r="Z13" s="2"/>
    </row>
    <row r="14">
      <c r="A14" s="1" t="s">
        <v>1400</v>
      </c>
      <c r="B14" s="1" t="s">
        <v>1342</v>
      </c>
      <c r="C14" s="1" t="s">
        <v>1342</v>
      </c>
      <c r="D14" s="1" t="s">
        <v>1342</v>
      </c>
      <c r="E14" s="1" t="s">
        <v>1342</v>
      </c>
      <c r="F14" s="1" t="s">
        <v>1342</v>
      </c>
      <c r="G14" s="1" t="s">
        <v>1342</v>
      </c>
      <c r="H14" s="1" t="s">
        <v>1342</v>
      </c>
      <c r="I14" s="1" t="s">
        <v>1342</v>
      </c>
      <c r="J14" s="2"/>
      <c r="K14" s="2"/>
      <c r="L14" s="2"/>
      <c r="M14" s="2"/>
      <c r="N14" s="2"/>
      <c r="O14" s="2"/>
      <c r="P14" s="2"/>
      <c r="Q14" s="2"/>
      <c r="R14" s="2"/>
      <c r="S14" s="2"/>
      <c r="T14" s="2"/>
      <c r="U14" s="2"/>
      <c r="V14" s="2"/>
      <c r="W14" s="2"/>
      <c r="X14" s="2"/>
      <c r="Y14" s="2"/>
      <c r="Z14" s="2"/>
    </row>
    <row r="15">
      <c r="A15" s="1" t="s">
        <v>1401</v>
      </c>
      <c r="B15" s="1" t="s">
        <v>238</v>
      </c>
      <c r="C15" s="1" t="s">
        <v>239</v>
      </c>
      <c r="D15" s="1" t="s">
        <v>240</v>
      </c>
      <c r="E15" s="1" t="s">
        <v>241</v>
      </c>
      <c r="F15" s="1" t="s">
        <v>242</v>
      </c>
      <c r="G15" s="1" t="s">
        <v>1402</v>
      </c>
      <c r="H15" s="1" t="s">
        <v>1403</v>
      </c>
      <c r="I15" s="1" t="s">
        <v>1404</v>
      </c>
      <c r="J15" s="2"/>
      <c r="K15" s="2"/>
      <c r="L15" s="2"/>
      <c r="M15" s="2"/>
      <c r="N15" s="2"/>
      <c r="O15" s="2"/>
      <c r="P15" s="2"/>
      <c r="Q15" s="2"/>
      <c r="R15" s="2"/>
      <c r="S15" s="2"/>
      <c r="T15" s="2"/>
      <c r="U15" s="2"/>
      <c r="V15" s="2"/>
      <c r="W15" s="2"/>
      <c r="X15" s="2"/>
      <c r="Y15" s="2"/>
      <c r="Z15" s="2"/>
    </row>
    <row r="16">
      <c r="A16" s="1" t="s">
        <v>1405</v>
      </c>
      <c r="B16" s="1" t="s">
        <v>1406</v>
      </c>
      <c r="C16" s="1" t="s">
        <v>1407</v>
      </c>
      <c r="D16" s="1" t="s">
        <v>1408</v>
      </c>
      <c r="E16" s="1" t="s">
        <v>1409</v>
      </c>
      <c r="F16" s="1" t="s">
        <v>1410</v>
      </c>
      <c r="G16" s="1" t="s">
        <v>1411</v>
      </c>
      <c r="H16" s="1" t="s">
        <v>1412</v>
      </c>
      <c r="I16" s="1" t="s">
        <v>1413</v>
      </c>
      <c r="J16" s="2"/>
      <c r="K16" s="2"/>
      <c r="L16" s="2"/>
      <c r="M16" s="2"/>
      <c r="N16" s="2"/>
      <c r="O16" s="2"/>
      <c r="P16" s="2"/>
      <c r="Q16" s="2"/>
      <c r="R16" s="2"/>
      <c r="S16" s="2"/>
      <c r="T16" s="2"/>
      <c r="U16" s="2"/>
      <c r="V16" s="2"/>
      <c r="W16" s="2"/>
      <c r="X16" s="2"/>
      <c r="Y16" s="2"/>
      <c r="Z16" s="2"/>
    </row>
    <row r="17">
      <c r="A17" s="1" t="s">
        <v>1414</v>
      </c>
      <c r="B17" s="1" t="s">
        <v>204</v>
      </c>
      <c r="C17" s="1" t="s">
        <v>205</v>
      </c>
      <c r="D17" s="1" t="s">
        <v>210</v>
      </c>
      <c r="E17" s="1" t="s">
        <v>207</v>
      </c>
      <c r="F17" s="1" t="s">
        <v>208</v>
      </c>
      <c r="G17" s="1" t="s">
        <v>1415</v>
      </c>
      <c r="H17" s="1" t="s">
        <v>1416</v>
      </c>
      <c r="I17" s="1" t="s">
        <v>1000</v>
      </c>
      <c r="J17" s="2"/>
      <c r="K17" s="2"/>
      <c r="L17" s="2"/>
      <c r="M17" s="2"/>
      <c r="N17" s="2"/>
      <c r="O17" s="2"/>
      <c r="P17" s="2"/>
      <c r="Q17" s="2"/>
      <c r="R17" s="2"/>
      <c r="S17" s="2"/>
      <c r="T17" s="2"/>
      <c r="U17" s="2"/>
      <c r="V17" s="2"/>
      <c r="W17" s="2"/>
      <c r="X17" s="2"/>
      <c r="Y17" s="2"/>
      <c r="Z17" s="2"/>
    </row>
    <row r="18">
      <c r="A18" s="1" t="s">
        <v>1417</v>
      </c>
      <c r="B18" s="1" t="s">
        <v>1418</v>
      </c>
      <c r="C18" s="1" t="s">
        <v>1419</v>
      </c>
      <c r="D18" s="1" t="s">
        <v>1420</v>
      </c>
      <c r="E18" s="1" t="s">
        <v>1421</v>
      </c>
      <c r="F18" s="1" t="s">
        <v>1422</v>
      </c>
      <c r="G18" s="1" t="s">
        <v>1423</v>
      </c>
      <c r="H18" s="1" t="s">
        <v>1424</v>
      </c>
      <c r="I18" s="1" t="s">
        <v>1425</v>
      </c>
      <c r="J18" s="2"/>
      <c r="K18" s="2"/>
      <c r="L18" s="2"/>
      <c r="M18" s="2"/>
      <c r="N18" s="2"/>
      <c r="O18" s="2"/>
      <c r="P18" s="2"/>
      <c r="Q18" s="2"/>
      <c r="R18" s="2"/>
      <c r="S18" s="2"/>
      <c r="T18" s="2"/>
      <c r="U18" s="2"/>
      <c r="V18" s="2"/>
      <c r="W18" s="2"/>
      <c r="X18" s="2"/>
      <c r="Y18" s="2"/>
      <c r="Z18" s="2"/>
    </row>
    <row r="19">
      <c r="A19" s="1" t="s">
        <v>1426</v>
      </c>
      <c r="B19" s="1" t="s">
        <v>1427</v>
      </c>
      <c r="C19" s="1" t="s">
        <v>1428</v>
      </c>
      <c r="D19" s="1" t="s">
        <v>1429</v>
      </c>
      <c r="E19" s="1" t="s">
        <v>1430</v>
      </c>
      <c r="F19" s="1" t="s">
        <v>1431</v>
      </c>
      <c r="G19" s="1" t="s">
        <v>1432</v>
      </c>
      <c r="H19" s="1" t="s">
        <v>1433</v>
      </c>
      <c r="I19" s="1" t="s">
        <v>1434</v>
      </c>
      <c r="J19" s="2"/>
      <c r="K19" s="2"/>
      <c r="L19" s="2"/>
      <c r="M19" s="2"/>
      <c r="N19" s="2"/>
      <c r="O19" s="2"/>
      <c r="P19" s="2"/>
      <c r="Q19" s="2"/>
      <c r="R19" s="2"/>
      <c r="S19" s="2"/>
      <c r="T19" s="2"/>
      <c r="U19" s="2"/>
      <c r="V19" s="2"/>
      <c r="W19" s="2"/>
      <c r="X19" s="2"/>
      <c r="Y19" s="2"/>
      <c r="Z19" s="2"/>
    </row>
    <row r="20">
      <c r="A20" s="1" t="s">
        <v>1435</v>
      </c>
      <c r="B20" s="1" t="s">
        <v>1342</v>
      </c>
      <c r="C20" s="1" t="s">
        <v>1342</v>
      </c>
      <c r="D20" s="1" t="s">
        <v>1436</v>
      </c>
      <c r="E20" s="1" t="s">
        <v>1437</v>
      </c>
      <c r="F20" s="1" t="s">
        <v>1438</v>
      </c>
      <c r="G20" s="1" t="s">
        <v>1439</v>
      </c>
      <c r="H20" s="1" t="s">
        <v>1440</v>
      </c>
      <c r="I20" s="1" t="s">
        <v>1441</v>
      </c>
      <c r="J20" s="2"/>
      <c r="K20" s="2"/>
      <c r="L20" s="2"/>
      <c r="M20" s="2"/>
      <c r="N20" s="2"/>
      <c r="O20" s="2"/>
      <c r="P20" s="2"/>
      <c r="Q20" s="2"/>
      <c r="R20" s="2"/>
      <c r="S20" s="2"/>
      <c r="T20" s="2"/>
      <c r="U20" s="2"/>
      <c r="V20" s="2"/>
      <c r="W20" s="2"/>
      <c r="X20" s="2"/>
      <c r="Y20" s="2"/>
      <c r="Z20" s="2"/>
    </row>
    <row r="21" ht="15.75" customHeight="1">
      <c r="A21" s="1" t="s">
        <v>1442</v>
      </c>
      <c r="B21" s="1" t="s">
        <v>1443</v>
      </c>
      <c r="C21" s="1" t="s">
        <v>1444</v>
      </c>
      <c r="D21" s="1" t="s">
        <v>1445</v>
      </c>
      <c r="E21" s="1" t="s">
        <v>1446</v>
      </c>
      <c r="F21" s="1" t="s">
        <v>1342</v>
      </c>
      <c r="G21" s="1" t="s">
        <v>1447</v>
      </c>
      <c r="H21" s="1" t="s">
        <v>1448</v>
      </c>
      <c r="I21" s="1" t="s">
        <v>1449</v>
      </c>
      <c r="J21" s="2"/>
      <c r="K21" s="2"/>
      <c r="L21" s="2"/>
      <c r="M21" s="2"/>
      <c r="N21" s="2"/>
      <c r="O21" s="2"/>
      <c r="P21" s="2"/>
      <c r="Q21" s="2"/>
      <c r="R21" s="2"/>
      <c r="S21" s="2"/>
      <c r="T21" s="2"/>
      <c r="U21" s="2"/>
      <c r="V21" s="2"/>
      <c r="W21" s="2"/>
      <c r="X21" s="2"/>
      <c r="Y21" s="2"/>
      <c r="Z21" s="2"/>
    </row>
    <row r="22" ht="15.75" customHeight="1">
      <c r="A22" s="1" t="s">
        <v>1450</v>
      </c>
      <c r="B22" s="1" t="s">
        <v>1342</v>
      </c>
      <c r="C22" s="1" t="s">
        <v>1451</v>
      </c>
      <c r="D22" s="1" t="s">
        <v>1452</v>
      </c>
      <c r="E22" s="1" t="s">
        <v>1453</v>
      </c>
      <c r="F22" s="1" t="s">
        <v>1454</v>
      </c>
      <c r="G22" s="1" t="s">
        <v>1455</v>
      </c>
      <c r="H22" s="1" t="s">
        <v>1456</v>
      </c>
      <c r="I22" s="1" t="s">
        <v>1457</v>
      </c>
      <c r="J22" s="2"/>
      <c r="K22" s="2"/>
      <c r="L22" s="2"/>
      <c r="M22" s="2"/>
      <c r="N22" s="2"/>
      <c r="O22" s="2"/>
      <c r="P22" s="2"/>
      <c r="Q22" s="2"/>
      <c r="R22" s="2"/>
      <c r="S22" s="2"/>
      <c r="T22" s="2"/>
      <c r="U22" s="2"/>
      <c r="V22" s="2"/>
      <c r="W22" s="2"/>
      <c r="X22" s="2"/>
      <c r="Y22" s="2"/>
      <c r="Z22" s="2"/>
    </row>
    <row r="23" ht="15.75" customHeight="1">
      <c r="A23" s="1" t="s">
        <v>145</v>
      </c>
      <c r="B23" s="1" t="s">
        <v>1458</v>
      </c>
      <c r="C23" s="1" t="s">
        <v>1459</v>
      </c>
      <c r="D23" s="1" t="s">
        <v>1460</v>
      </c>
      <c r="E23" s="1" t="s">
        <v>1342</v>
      </c>
      <c r="F23" s="1" t="s">
        <v>1342</v>
      </c>
      <c r="G23" s="1" t="s">
        <v>1342</v>
      </c>
      <c r="H23" s="1" t="s">
        <v>1342</v>
      </c>
      <c r="I23" s="1" t="s">
        <v>1342</v>
      </c>
      <c r="J23" s="2"/>
      <c r="K23" s="2"/>
      <c r="L23" s="2"/>
      <c r="M23" s="2"/>
      <c r="N23" s="2"/>
      <c r="O23" s="2"/>
      <c r="P23" s="2"/>
      <c r="Q23" s="2"/>
      <c r="R23" s="2"/>
      <c r="S23" s="2"/>
      <c r="T23" s="2"/>
      <c r="U23" s="2"/>
      <c r="V23" s="2"/>
      <c r="W23" s="2"/>
      <c r="X23" s="2"/>
      <c r="Y23" s="2"/>
      <c r="Z23" s="2"/>
    </row>
    <row r="24" ht="15.75" customHeight="1">
      <c r="A24" s="1" t="s">
        <v>1461</v>
      </c>
      <c r="B24" s="1" t="s">
        <v>1462</v>
      </c>
      <c r="C24" s="1" t="s">
        <v>1463</v>
      </c>
      <c r="D24" s="1" t="s">
        <v>1464</v>
      </c>
      <c r="E24" s="1" t="s">
        <v>1465</v>
      </c>
      <c r="F24" s="1" t="s">
        <v>1466</v>
      </c>
      <c r="G24" s="1" t="s">
        <v>1467</v>
      </c>
      <c r="H24" s="1" t="s">
        <v>1467</v>
      </c>
      <c r="I24" s="1" t="s">
        <v>1467</v>
      </c>
      <c r="J24" s="2"/>
      <c r="K24" s="2"/>
      <c r="L24" s="2"/>
      <c r="M24" s="2"/>
      <c r="N24" s="2"/>
      <c r="O24" s="2"/>
      <c r="P24" s="2"/>
      <c r="Q24" s="2"/>
      <c r="R24" s="2"/>
      <c r="S24" s="2"/>
      <c r="T24" s="2"/>
      <c r="U24" s="2"/>
      <c r="V24" s="2"/>
      <c r="W24" s="2"/>
      <c r="X24" s="2"/>
      <c r="Y24" s="2"/>
      <c r="Z24" s="2"/>
    </row>
    <row r="25" ht="15.75" customHeight="1">
      <c r="A25" s="1" t="s">
        <v>1468</v>
      </c>
      <c r="B25" s="1" t="s">
        <v>1469</v>
      </c>
      <c r="C25" s="1" t="s">
        <v>1470</v>
      </c>
      <c r="D25" s="1" t="s">
        <v>1471</v>
      </c>
      <c r="E25" s="1" t="s">
        <v>1472</v>
      </c>
      <c r="F25" s="1" t="s">
        <v>1473</v>
      </c>
      <c r="G25" s="1" t="s">
        <v>1474</v>
      </c>
      <c r="H25" s="1" t="s">
        <v>1342</v>
      </c>
      <c r="I25" s="1" t="s">
        <v>1342</v>
      </c>
      <c r="J25" s="2"/>
      <c r="K25" s="2"/>
      <c r="L25" s="2"/>
      <c r="M25" s="2"/>
      <c r="N25" s="2"/>
      <c r="O25" s="2"/>
      <c r="P25" s="2"/>
      <c r="Q25" s="2"/>
      <c r="R25" s="2"/>
      <c r="S25" s="2"/>
      <c r="T25" s="2"/>
      <c r="U25" s="2"/>
      <c r="V25" s="2"/>
      <c r="W25" s="2"/>
      <c r="X25" s="2"/>
      <c r="Y25" s="2"/>
      <c r="Z25" s="2"/>
    </row>
    <row r="26" ht="15.75" customHeight="1">
      <c r="A26" s="1" t="s">
        <v>1475</v>
      </c>
      <c r="B26" s="1" t="s">
        <v>1476</v>
      </c>
      <c r="C26" s="1" t="s">
        <v>1477</v>
      </c>
      <c r="D26" s="1" t="s">
        <v>1478</v>
      </c>
      <c r="E26" s="1" t="s">
        <v>1479</v>
      </c>
      <c r="F26" s="1" t="s">
        <v>1480</v>
      </c>
      <c r="G26" s="1" t="s">
        <v>1342</v>
      </c>
      <c r="H26" s="1" t="s">
        <v>1342</v>
      </c>
      <c r="I26" s="1" t="s">
        <v>1342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1481</v>
      </c>
      <c r="B2" s="1" t="s">
        <v>1482</v>
      </c>
      <c r="C2" s="2"/>
      <c r="D2" s="2"/>
      <c r="E2" s="2"/>
      <c r="F2" s="2"/>
      <c r="G2" s="2"/>
      <c r="H2" s="2"/>
      <c r="I2" s="2"/>
      <c r="J2" s="2"/>
      <c r="K2" s="2"/>
      <c r="L2" s="2"/>
      <c r="M2" s="2"/>
      <c r="N2" s="2"/>
      <c r="O2" s="2"/>
      <c r="P2" s="2"/>
      <c r="Q2" s="2"/>
      <c r="R2" s="2"/>
      <c r="S2" s="2"/>
      <c r="T2" s="2"/>
      <c r="U2" s="2"/>
      <c r="V2" s="2"/>
      <c r="W2" s="2"/>
      <c r="X2" s="2"/>
      <c r="Y2" s="2"/>
      <c r="Z2" s="2"/>
    </row>
    <row r="3">
      <c r="A3" s="3" t="s">
        <v>1483</v>
      </c>
      <c r="B3" s="1" t="s">
        <v>1484</v>
      </c>
      <c r="C3" s="2"/>
      <c r="D3" s="2"/>
      <c r="E3" s="2"/>
      <c r="F3" s="2"/>
      <c r="G3" s="2"/>
      <c r="H3" s="2"/>
      <c r="I3" s="2"/>
      <c r="J3" s="2"/>
      <c r="K3" s="2"/>
      <c r="L3" s="2"/>
      <c r="M3" s="2"/>
      <c r="N3" s="2"/>
      <c r="O3" s="2"/>
      <c r="P3" s="2"/>
      <c r="Q3" s="2"/>
      <c r="R3" s="2"/>
      <c r="S3" s="2"/>
      <c r="T3" s="2"/>
      <c r="U3" s="2"/>
      <c r="V3" s="2"/>
      <c r="W3" s="2"/>
      <c r="X3" s="2"/>
      <c r="Y3" s="2"/>
      <c r="Z3" s="2"/>
    </row>
    <row r="4">
      <c r="A4" s="3" t="s">
        <v>1485</v>
      </c>
      <c r="B4" s="1" t="s">
        <v>1486</v>
      </c>
      <c r="C4" s="2"/>
      <c r="D4" s="2"/>
      <c r="E4" s="2"/>
      <c r="F4" s="2"/>
      <c r="G4" s="2"/>
      <c r="H4" s="2"/>
      <c r="I4" s="2"/>
      <c r="J4" s="2"/>
      <c r="K4" s="2"/>
      <c r="L4" s="2"/>
      <c r="M4" s="2"/>
      <c r="N4" s="2"/>
      <c r="O4" s="2"/>
      <c r="P4" s="2"/>
      <c r="Q4" s="2"/>
      <c r="R4" s="2"/>
      <c r="S4" s="2"/>
      <c r="T4" s="2"/>
      <c r="U4" s="2"/>
      <c r="V4" s="2"/>
      <c r="W4" s="2"/>
      <c r="X4" s="2"/>
      <c r="Y4" s="2"/>
      <c r="Z4" s="2"/>
    </row>
    <row r="5">
      <c r="A5" s="3" t="s">
        <v>1487</v>
      </c>
      <c r="B5" s="1" t="s">
        <v>1488</v>
      </c>
      <c r="C5" s="2"/>
      <c r="D5" s="2"/>
      <c r="E5" s="2"/>
      <c r="F5" s="2"/>
      <c r="G5" s="2"/>
      <c r="H5" s="2"/>
      <c r="I5" s="2"/>
      <c r="J5" s="2"/>
      <c r="K5" s="2"/>
      <c r="L5" s="2"/>
      <c r="M5" s="2"/>
      <c r="N5" s="2"/>
      <c r="O5" s="2"/>
      <c r="P5" s="2"/>
      <c r="Q5" s="2"/>
      <c r="R5" s="2"/>
      <c r="S5" s="2"/>
      <c r="T5" s="2"/>
      <c r="U5" s="2"/>
      <c r="V5" s="2"/>
      <c r="W5" s="2"/>
      <c r="X5" s="2"/>
      <c r="Y5" s="2"/>
      <c r="Z5" s="2"/>
    </row>
    <row r="6">
      <c r="A6" s="3" t="s">
        <v>1489</v>
      </c>
      <c r="B6" s="1" t="s">
        <v>11</v>
      </c>
      <c r="C6" s="2"/>
      <c r="D6" s="2"/>
      <c r="E6" s="2"/>
      <c r="F6" s="2"/>
      <c r="G6" s="2"/>
      <c r="H6" s="2"/>
      <c r="I6" s="2"/>
      <c r="J6" s="2"/>
      <c r="K6" s="2"/>
      <c r="L6" s="2"/>
      <c r="M6" s="2"/>
      <c r="N6" s="2"/>
      <c r="O6" s="2"/>
      <c r="P6" s="2"/>
      <c r="Q6" s="2"/>
      <c r="R6" s="2"/>
      <c r="S6" s="2"/>
      <c r="T6" s="2"/>
      <c r="U6" s="2"/>
      <c r="V6" s="2"/>
      <c r="W6" s="2"/>
      <c r="X6" s="2"/>
      <c r="Y6" s="2"/>
      <c r="Z6" s="2"/>
    </row>
    <row r="7">
      <c r="A7" s="3" t="s">
        <v>1490</v>
      </c>
      <c r="B7" s="1" t="s">
        <v>1491</v>
      </c>
      <c r="C7" s="2"/>
      <c r="D7" s="2"/>
      <c r="E7" s="2"/>
      <c r="F7" s="2"/>
      <c r="G7" s="2"/>
      <c r="H7" s="2"/>
      <c r="I7" s="2"/>
      <c r="J7" s="2"/>
      <c r="K7" s="2"/>
      <c r="L7" s="2"/>
      <c r="M7" s="2"/>
      <c r="N7" s="2"/>
      <c r="O7" s="2"/>
      <c r="P7" s="2"/>
      <c r="Q7" s="2"/>
      <c r="R7" s="2"/>
      <c r="S7" s="2"/>
      <c r="T7" s="2"/>
      <c r="U7" s="2"/>
      <c r="V7" s="2"/>
      <c r="W7" s="2"/>
      <c r="X7" s="2"/>
      <c r="Y7" s="2"/>
      <c r="Z7" s="2"/>
    </row>
    <row r="8">
      <c r="A8" s="3" t="s">
        <v>1492</v>
      </c>
      <c r="B8" s="4" t="s">
        <v>1493</v>
      </c>
      <c r="C8" s="2"/>
      <c r="D8" s="2"/>
      <c r="E8" s="2"/>
      <c r="F8" s="2"/>
      <c r="G8" s="2"/>
      <c r="H8" s="2"/>
      <c r="I8" s="2"/>
      <c r="J8" s="2"/>
      <c r="K8" s="2"/>
      <c r="L8" s="2"/>
      <c r="M8" s="2"/>
      <c r="N8" s="2"/>
      <c r="O8" s="2"/>
      <c r="P8" s="2"/>
      <c r="Q8" s="2"/>
      <c r="R8" s="2"/>
      <c r="S8" s="2"/>
      <c r="T8" s="2"/>
      <c r="U8" s="2"/>
      <c r="V8" s="2"/>
      <c r="W8" s="2"/>
      <c r="X8" s="2"/>
      <c r="Y8" s="2"/>
      <c r="Z8" s="2"/>
    </row>
    <row r="9">
      <c r="A9" s="3" t="s">
        <v>1494</v>
      </c>
      <c r="B9" s="1" t="s">
        <v>1495</v>
      </c>
      <c r="C9" s="2"/>
      <c r="D9" s="2"/>
      <c r="E9" s="2"/>
      <c r="F9" s="2"/>
      <c r="G9" s="2"/>
      <c r="H9" s="2"/>
      <c r="I9" s="2"/>
      <c r="J9" s="2"/>
      <c r="K9" s="2"/>
      <c r="L9" s="2"/>
      <c r="M9" s="2"/>
      <c r="N9" s="2"/>
      <c r="O9" s="2"/>
      <c r="P9" s="2"/>
      <c r="Q9" s="2"/>
      <c r="R9" s="2"/>
      <c r="S9" s="2"/>
      <c r="T9" s="2"/>
      <c r="U9" s="2"/>
      <c r="V9" s="2"/>
      <c r="W9" s="2"/>
      <c r="X9" s="2"/>
      <c r="Y9" s="2"/>
      <c r="Z9" s="2"/>
    </row>
    <row r="10">
      <c r="A10" s="3" t="s">
        <v>1496</v>
      </c>
      <c r="B10" s="1" t="s">
        <v>1497</v>
      </c>
      <c r="C10" s="2"/>
      <c r="D10" s="2"/>
      <c r="E10" s="2"/>
      <c r="F10" s="2"/>
      <c r="G10" s="2"/>
      <c r="H10" s="2"/>
      <c r="I10" s="2"/>
      <c r="J10" s="2"/>
      <c r="K10" s="2"/>
      <c r="L10" s="2"/>
      <c r="M10" s="2"/>
      <c r="N10" s="2"/>
      <c r="O10" s="2"/>
      <c r="P10" s="2"/>
      <c r="Q10" s="2"/>
      <c r="R10" s="2"/>
      <c r="S10" s="2"/>
      <c r="T10" s="2"/>
      <c r="U10" s="2"/>
      <c r="V10" s="2"/>
      <c r="W10" s="2"/>
      <c r="X10" s="2"/>
      <c r="Y10" s="2"/>
      <c r="Z10" s="2"/>
    </row>
    <row r="11">
      <c r="A11" s="3" t="s">
        <v>1498</v>
      </c>
      <c r="B11" s="1" t="s">
        <v>1495</v>
      </c>
      <c r="C11" s="2"/>
      <c r="D11" s="2"/>
      <c r="E11" s="2"/>
      <c r="F11" s="2"/>
      <c r="G11" s="2"/>
      <c r="H11" s="2"/>
      <c r="I11" s="2"/>
      <c r="J11" s="2"/>
      <c r="K11" s="2"/>
      <c r="L11" s="2"/>
      <c r="M11" s="2"/>
      <c r="N11" s="2"/>
      <c r="O11" s="2"/>
      <c r="P11" s="2"/>
      <c r="Q11" s="2"/>
      <c r="R11" s="2"/>
      <c r="S11" s="2"/>
      <c r="T11" s="2"/>
      <c r="U11" s="2"/>
      <c r="V11" s="2"/>
      <c r="W11" s="2"/>
      <c r="X11" s="2"/>
      <c r="Y11" s="2"/>
      <c r="Z11" s="2"/>
    </row>
    <row r="12">
      <c r="A12" s="3" t="s">
        <v>1499</v>
      </c>
      <c r="B12" s="1" t="s">
        <v>1500</v>
      </c>
      <c r="C12" s="2"/>
      <c r="D12" s="2"/>
      <c r="E12" s="2"/>
      <c r="F12" s="2"/>
      <c r="G12" s="2"/>
      <c r="H12" s="2"/>
      <c r="I12" s="2"/>
      <c r="J12" s="2"/>
      <c r="K12" s="2"/>
      <c r="L12" s="2"/>
      <c r="M12" s="2"/>
      <c r="N12" s="2"/>
      <c r="O12" s="2"/>
      <c r="P12" s="2"/>
      <c r="Q12" s="2"/>
      <c r="R12" s="2"/>
      <c r="S12" s="2"/>
      <c r="T12" s="2"/>
      <c r="U12" s="2"/>
      <c r="V12" s="2"/>
      <c r="W12" s="2"/>
      <c r="X12" s="2"/>
      <c r="Y12" s="2"/>
      <c r="Z12" s="2"/>
    </row>
    <row r="13">
      <c r="A13" s="3" t="s">
        <v>1501</v>
      </c>
      <c r="B13" s="1" t="s">
        <v>1502</v>
      </c>
      <c r="C13" s="2"/>
      <c r="D13" s="2"/>
      <c r="E13" s="2"/>
      <c r="F13" s="2"/>
      <c r="G13" s="2"/>
      <c r="H13" s="2"/>
      <c r="I13" s="2"/>
      <c r="J13" s="2"/>
      <c r="K13" s="2"/>
      <c r="L13" s="2"/>
      <c r="M13" s="2"/>
      <c r="N13" s="2"/>
      <c r="O13" s="2"/>
      <c r="P13" s="2"/>
      <c r="Q13" s="2"/>
      <c r="R13" s="2"/>
      <c r="S13" s="2"/>
      <c r="T13" s="2"/>
      <c r="U13" s="2"/>
      <c r="V13" s="2"/>
      <c r="W13" s="2"/>
      <c r="X13" s="2"/>
      <c r="Y13" s="2"/>
      <c r="Z13" s="2"/>
    </row>
    <row r="14">
      <c r="A14" s="3" t="s">
        <v>1503</v>
      </c>
      <c r="B14" s="1" t="s">
        <v>1500</v>
      </c>
      <c r="C14" s="2"/>
      <c r="D14" s="2"/>
      <c r="E14" s="2"/>
      <c r="F14" s="2"/>
      <c r="G14" s="2"/>
      <c r="H14" s="2"/>
      <c r="I14" s="2"/>
      <c r="J14" s="2"/>
      <c r="K14" s="2"/>
      <c r="L14" s="2"/>
      <c r="M14" s="2"/>
      <c r="N14" s="2"/>
      <c r="O14" s="2"/>
      <c r="P14" s="2"/>
      <c r="Q14" s="2"/>
      <c r="R14" s="2"/>
      <c r="S14" s="2"/>
      <c r="T14" s="2"/>
      <c r="U14" s="2"/>
      <c r="V14" s="2"/>
      <c r="W14" s="2"/>
      <c r="X14" s="2"/>
      <c r="Y14" s="2"/>
      <c r="Z14" s="2"/>
    </row>
    <row r="15">
      <c r="A15" s="3" t="s">
        <v>1504</v>
      </c>
      <c r="B15" s="1" t="s">
        <v>1505</v>
      </c>
      <c r="C15" s="2"/>
      <c r="D15" s="2"/>
      <c r="E15" s="2"/>
      <c r="F15" s="2"/>
      <c r="G15" s="2"/>
      <c r="H15" s="2"/>
      <c r="I15" s="2"/>
      <c r="J15" s="2"/>
      <c r="K15" s="2"/>
      <c r="L15" s="2"/>
      <c r="M15" s="2"/>
      <c r="N15" s="2"/>
      <c r="O15" s="2"/>
      <c r="P15" s="2"/>
      <c r="Q15" s="2"/>
      <c r="R15" s="2"/>
      <c r="S15" s="2"/>
      <c r="T15" s="2"/>
      <c r="U15" s="2"/>
      <c r="V15" s="2"/>
      <c r="W15" s="2"/>
      <c r="X15" s="2"/>
      <c r="Y15" s="2"/>
      <c r="Z15" s="2"/>
    </row>
    <row r="16">
      <c r="A16" s="3" t="s">
        <v>1506</v>
      </c>
      <c r="B16" s="1">
        <v>13600.0</v>
      </c>
      <c r="C16" s="2"/>
      <c r="D16" s="2"/>
      <c r="E16" s="2"/>
      <c r="F16" s="2"/>
      <c r="G16" s="2"/>
      <c r="H16" s="2"/>
      <c r="I16" s="2"/>
      <c r="J16" s="2"/>
      <c r="K16" s="2"/>
      <c r="L16" s="2"/>
      <c r="M16" s="2"/>
      <c r="N16" s="2"/>
      <c r="O16" s="2"/>
      <c r="P16" s="2"/>
      <c r="Q16" s="2"/>
      <c r="R16" s="2"/>
      <c r="S16" s="2"/>
      <c r="T16" s="2"/>
      <c r="U16" s="2"/>
      <c r="V16" s="2"/>
      <c r="W16" s="2"/>
      <c r="X16" s="2"/>
      <c r="Y16" s="2"/>
      <c r="Z16" s="2"/>
    </row>
    <row r="17">
      <c r="A17" s="3" t="s">
        <v>1507</v>
      </c>
      <c r="B17" s="1" t="s">
        <v>1508</v>
      </c>
      <c r="C17" s="2"/>
      <c r="D17" s="2"/>
      <c r="E17" s="2"/>
      <c r="F17" s="2"/>
      <c r="G17" s="2"/>
      <c r="H17" s="2"/>
      <c r="I17" s="2"/>
      <c r="J17" s="2"/>
      <c r="K17" s="2"/>
      <c r="L17" s="2"/>
      <c r="M17" s="2"/>
      <c r="N17" s="2"/>
      <c r="O17" s="2"/>
      <c r="P17" s="2"/>
      <c r="Q17" s="2"/>
      <c r="R17" s="2"/>
      <c r="S17" s="2"/>
      <c r="T17" s="2"/>
      <c r="U17" s="2"/>
      <c r="V17" s="2"/>
      <c r="W17" s="2"/>
      <c r="X17" s="2"/>
      <c r="Y17" s="2"/>
      <c r="Z17" s="2"/>
    </row>
    <row r="18">
      <c r="A18" s="3" t="s">
        <v>1509</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1510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1511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1518</v>
      </c>
      <c r="B27" s="1">
        <v>211.4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1519</v>
      </c>
      <c r="B28" s="1">
        <v>212.1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1520</v>
      </c>
      <c r="B29" s="1">
        <v>211.11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1521</v>
      </c>
      <c r="B30" s="1">
        <v>216.3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1522</v>
      </c>
      <c r="B31" s="1">
        <v>211.4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1523</v>
      </c>
      <c r="B32" s="1">
        <v>212.1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1524</v>
      </c>
      <c r="B33" s="1">
        <v>211.11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1525</v>
      </c>
      <c r="B34" s="1">
        <v>216.3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1526</v>
      </c>
      <c r="B35" s="1">
        <v>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1527</v>
      </c>
      <c r="B36" s="1">
        <v>0.0150999995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1528</v>
      </c>
      <c r="B37" s="1">
        <v>1.7337024E9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1529</v>
      </c>
      <c r="B38" s="1">
        <v>0.2057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1530</v>
      </c>
      <c r="B39" s="1">
        <v>1.85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1531</v>
      </c>
      <c r="B40" s="1">
        <v>0.568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1532</v>
      </c>
      <c r="B41" s="1">
        <v>15.3878565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1533</v>
      </c>
      <c r="B42" s="1">
        <v>11.869696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1534</v>
      </c>
      <c r="B43" s="1">
        <v>191892.0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1535</v>
      </c>
      <c r="B44" s="1">
        <v>191892.0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1536</v>
      </c>
      <c r="B45" s="1">
        <v>361461.0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1537</v>
      </c>
      <c r="B46" s="1">
        <v>373500.0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1538</v>
      </c>
      <c r="B47" s="1">
        <v>373500.0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1539</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1541</v>
      </c>
      <c r="B50" s="1">
        <v>1.1048844288E10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1542</v>
      </c>
      <c r="B51" s="1">
        <v>160.12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1543</v>
      </c>
      <c r="B52" s="1">
        <v>230.55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1544</v>
      </c>
      <c r="B53" s="1">
        <v>0.93986326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1545</v>
      </c>
      <c r="B54" s="1">
        <v>210.4326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1546</v>
      </c>
      <c r="B55" s="1">
        <v>187.0491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1547</v>
      </c>
      <c r="B56" s="1">
        <v>2.88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1548</v>
      </c>
      <c r="B57" s="1">
        <v>0.013623464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1549</v>
      </c>
      <c r="B58" s="1" t="s">
        <v>1550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1551</v>
      </c>
      <c r="B59" s="1">
        <v>1.0830871552E10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1552</v>
      </c>
      <c r="B60" s="1">
        <v>0.06307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1553</v>
      </c>
      <c r="B61" s="1">
        <v>5.0978113E7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1554</v>
      </c>
      <c r="B62" s="1">
        <v>5.12874E7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1555</v>
      </c>
      <c r="B63" s="1">
        <v>770730.0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1556</v>
      </c>
      <c r="B64" s="1">
        <v>697143.0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1557</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1558</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1559</v>
      </c>
      <c r="B67" s="1">
        <v>0.015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1560</v>
      </c>
      <c r="B68" s="1">
        <v>0.00598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1561</v>
      </c>
      <c r="B69" s="1">
        <v>0.98603994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1562</v>
      </c>
      <c r="B70" s="1">
        <v>1.77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1563</v>
      </c>
      <c r="B71" s="1">
        <v>0.0199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1564</v>
      </c>
      <c r="B72" s="1">
        <v>5.12874E7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1565</v>
      </c>
      <c r="B73" s="1">
        <v>102.291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1566</v>
      </c>
      <c r="B74" s="1">
        <v>2.1060503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1567</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1568</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1569</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1570</v>
      </c>
      <c r="B78" s="1">
        <v>-0.296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1571</v>
      </c>
      <c r="B79" s="1">
        <v>7.414E8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1572</v>
      </c>
      <c r="B80" s="1">
        <v>14.0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1573</v>
      </c>
      <c r="B81" s="1">
        <v>17.92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1574</v>
      </c>
      <c r="B82" s="1">
        <v>0.921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1575</v>
      </c>
      <c r="B83" s="1">
        <v>8.721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1576</v>
      </c>
      <c r="B84" s="1">
        <v>0.28186357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1577</v>
      </c>
      <c r="B85" s="1">
        <v>0.26272178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v>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1579</v>
      </c>
      <c r="B87" s="1">
        <v>1.7337024E9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1580</v>
      </c>
      <c r="B88" s="1" t="s">
        <v>1581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1582</v>
      </c>
      <c r="B89" s="1" t="s">
        <v>1583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1586</v>
      </c>
      <c r="B92" s="1" t="s">
        <v>1587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1588</v>
      </c>
      <c r="B93" s="1" t="s">
        <v>1587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1589</v>
      </c>
      <c r="B94" s="1">
        <v>1.0759914E9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1590</v>
      </c>
      <c r="B95" s="1" t="s">
        <v>1591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t="s">
        <v>1593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1594</v>
      </c>
      <c r="B97" s="1" t="s">
        <v>1595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1596</v>
      </c>
      <c r="B98" s="1" t="s">
        <v>1597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1599</v>
      </c>
      <c r="B100" s="1">
        <v>215.43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1600</v>
      </c>
      <c r="B101" s="1">
        <v>251.0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1601</v>
      </c>
      <c r="B102" s="1">
        <v>212.0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1602</v>
      </c>
      <c r="B103" s="1">
        <v>233.2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1603</v>
      </c>
      <c r="B104" s="1">
        <v>240.0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1604</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1605</v>
      </c>
      <c r="B106" s="1" t="s">
        <v>1606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1607</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1608</v>
      </c>
      <c r="B108" s="1">
        <v>2.1384E9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1609</v>
      </c>
      <c r="B109" s="1">
        <v>41.694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1610</v>
      </c>
      <c r="B110" s="1">
        <v>1.241900032E9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1611</v>
      </c>
      <c r="B111" s="1">
        <v>2.082499968E9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1612</v>
      </c>
      <c r="B112" s="1">
        <v>0.143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1613</v>
      </c>
      <c r="B113" s="1">
        <v>0.427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1614</v>
      </c>
      <c r="B114" s="1">
        <v>1.1755799552E10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1615</v>
      </c>
      <c r="B115" s="1">
        <v>39.627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1616</v>
      </c>
      <c r="B116" s="1">
        <v>223.621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1617</v>
      </c>
      <c r="B117" s="1">
        <v>0.01873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1618</v>
      </c>
      <c r="B118" s="1">
        <v>0.15215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1619</v>
      </c>
      <c r="B119" s="1">
        <v>1.71256256E9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1620</v>
      </c>
      <c r="B120" s="1">
        <v>1.592499968E9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1621</v>
      </c>
      <c r="B121" s="1">
        <v>-0.28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1622</v>
      </c>
      <c r="B122" s="1">
        <v>0.07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1623</v>
      </c>
      <c r="B123" s="1">
        <v>0.106809996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1624</v>
      </c>
      <c r="B124" s="1">
        <v>0.10564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1625</v>
      </c>
      <c r="B125" s="1">
        <v>0.059710003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1626</v>
      </c>
      <c r="B126" s="1" t="s">
        <v>1550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1627</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12.0</v>
      </c>
      <c r="C3" s="1">
        <v>-606.0</v>
      </c>
      <c r="D3" s="1">
        <v>-1120.0</v>
      </c>
      <c r="E3" s="1">
        <v>571.0</v>
      </c>
      <c r="F3" s="1">
        <v>8630.0</v>
      </c>
      <c r="G3" s="1">
        <v>1560.0</v>
      </c>
      <c r="H3" s="1">
        <v>1380.0</v>
      </c>
      <c r="I3" s="1">
        <v>3480.0</v>
      </c>
      <c r="J3" s="1">
        <v>778.0</v>
      </c>
      <c r="K3" s="1">
        <v>1070.0</v>
      </c>
      <c r="L3" s="1">
        <f>IF(K3*FORECAST(L2,B3:K3,B2:K2)&gt;0,FORECAST(L2,B3:K3,B2:K2),K3)*$X$1</f>
        <v>2827.733333</v>
      </c>
      <c r="M3" s="1">
        <f>IF(L3*FORECAST(M2,B3:L3,B2:L2)&gt;0,FORECAST(M2,B3:L3,B2:L2),L3)*$X$1</f>
        <v>3055.412121</v>
      </c>
      <c r="N3" s="1">
        <f>IF(M3*FORECAST(N2,B3:M3,B2:M2)&gt;0,FORECAST(N2,B3:M3,B2:M2),M3)*$X$1</f>
        <v>3283.090909</v>
      </c>
      <c r="O3" s="1">
        <f>IF(N3*FORECAST(O2,B3:N3,B2:N2)&gt;0,FORECAST(O2,B3:N3,B2:N2),N3)*$X$1</f>
        <v>3510.769697</v>
      </c>
      <c r="P3" s="1">
        <f>IF(O3*FORECAST(P2,B3:O3,B2:O2)&gt;0,FORECAST(P2,B3:O3,B2:O2),O3)*$X$1</f>
        <v>3738.448485</v>
      </c>
      <c r="Q3" s="1">
        <f>IF(P3*FORECAST(Q2,B3:P3,B2:P2)&gt;0,FORECAST(Q2,B3:P3,B2:P2),P3)*$X$1</f>
        <v>3966.127273</v>
      </c>
      <c r="R3" s="1">
        <f>IF(Q3*FORECAST(R2,B3:Q3,B2:Q2)&gt;0,FORECAST(R2,B3:Q3,B2:Q2),Q3)*$X$1</f>
        <v>4193.806061</v>
      </c>
      <c r="S3" s="5">
        <f>IF(R3*FORECAST(S2,B3:R3,B2:R2)&gt;0,FORECAST(S2,B3:R3,B2:R2),R3)*$X$1</f>
        <v>4421.484848</v>
      </c>
      <c r="T3" s="5">
        <f>IF(S3*FORECAST(T2,B3:S3,B2:S2)&gt;0,FORECAST(T2,B3:S3,B2:S2),S3)*$X$1</f>
        <v>4649.163636</v>
      </c>
      <c r="U3" s="5">
        <f>IF(T3*FORECAST(U2,B3:T3,B2:T2)&gt;0,FORECAST(U2,B3:T3,B2:T2),T3)*$X$1</f>
        <v>4876.842424</v>
      </c>
      <c r="V3" s="5">
        <f>IF(U3*FORECAST(V2,B3:U3,B2:U2)&gt;0,FORECAST(V2,B3:U3,B2:U2),U3)*$X$1</f>
        <v>5104.521212</v>
      </c>
      <c r="W3" s="5">
        <f>IF(V3*FORECAST(W2,B3:V3,B2:V2)&gt;0,FORECAST(W2,B3:V3,B2:V2),V3)*$X$1</f>
        <v>5332.2</v>
      </c>
      <c r="X3" s="2"/>
      <c r="Y3" s="2"/>
      <c r="Z3" s="2"/>
    </row>
    <row r="4">
      <c r="A4" s="3" t="s">
        <v>144</v>
      </c>
      <c r="B4" s="1">
        <v>-51.0</v>
      </c>
      <c r="C4" s="1">
        <v>-117.0</v>
      </c>
      <c r="D4" s="1">
        <v>35.0</v>
      </c>
      <c r="E4" s="1">
        <v>452.0</v>
      </c>
      <c r="F4" s="1">
        <v>2009.0</v>
      </c>
      <c r="G4" s="1">
        <v>1790.0</v>
      </c>
      <c r="H4" s="1">
        <v>102.0</v>
      </c>
      <c r="I4" s="1">
        <v>222.0</v>
      </c>
      <c r="J4" s="1">
        <v>633.0</v>
      </c>
      <c r="K4" s="1">
        <v>488.0</v>
      </c>
      <c r="L4" s="2"/>
      <c r="M4" s="2"/>
      <c r="N4" s="2"/>
      <c r="O4" s="2"/>
      <c r="P4" s="2"/>
      <c r="Q4" s="2"/>
      <c r="R4" s="2"/>
      <c r="S4" s="2"/>
      <c r="T4" s="2"/>
      <c r="U4" s="2"/>
      <c r="V4" s="2"/>
      <c r="W4" s="2"/>
      <c r="X4" s="2"/>
      <c r="Y4" s="2"/>
      <c r="Z4" s="2"/>
    </row>
    <row r="5">
      <c r="A5" s="3" t="s">
        <v>1628</v>
      </c>
      <c r="B5" s="1">
        <v>73.0</v>
      </c>
      <c r="C5" s="1">
        <v>69.0</v>
      </c>
      <c r="D5" s="1">
        <v>61.0</v>
      </c>
      <c r="E5" s="1">
        <v>55.0</v>
      </c>
      <c r="F5" s="1">
        <v>59.0</v>
      </c>
      <c r="G5" s="1">
        <v>62.0</v>
      </c>
      <c r="H5" s="1">
        <v>63.0</v>
      </c>
      <c r="I5" s="1">
        <v>60.0</v>
      </c>
      <c r="J5" s="1">
        <v>54.0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(1+0.02)/(0.0744-0.02)</f>
        <v>99978.75</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NPV(0.0744,M3:W3)</f>
        <v>29583.74797</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NPV(0.0744,M16:W16)</f>
        <v>45402.70274</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74986.45071</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488.0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74498.45071</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1405.631145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99978.75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6" width="14.43"/>
  </cols>
  <sheetData>
    <row r="1">
      <c r="A1" s="7"/>
      <c r="B1" s="7"/>
      <c r="C1" s="7"/>
      <c r="D1" s="7"/>
      <c r="E1" s="7"/>
      <c r="F1" s="7"/>
      <c r="G1" s="7"/>
      <c r="H1" s="7"/>
      <c r="I1" s="8" t="s">
        <v>1635</v>
      </c>
      <c r="J1" s="9" t="str">
        <f>Data!B1</f>
        <v>AIZ</v>
      </c>
      <c r="K1" s="7"/>
      <c r="L1" s="7"/>
      <c r="M1" s="7"/>
      <c r="N1" s="7"/>
      <c r="O1" s="7"/>
      <c r="P1" s="7"/>
      <c r="Q1" s="7"/>
      <c r="R1" s="7"/>
      <c r="S1" s="7"/>
      <c r="T1" s="7"/>
      <c r="U1" s="7"/>
      <c r="V1" s="7"/>
      <c r="W1" s="7"/>
      <c r="X1" s="7"/>
      <c r="Y1" s="7"/>
      <c r="Z1" s="7"/>
      <c r="AA1" s="7"/>
      <c r="AB1" s="7"/>
      <c r="AC1" s="7"/>
      <c r="AD1" s="7"/>
    </row>
    <row r="2">
      <c r="A2" s="10"/>
      <c r="B2" s="11">
        <f>IF(B3&gt;0,B3,0)</f>
        <v>0.01422351234</v>
      </c>
      <c r="C2" s="10"/>
      <c r="D2" s="11">
        <f>IF(D3&gt;0,D3,0)</f>
        <v>0</v>
      </c>
      <c r="E2" s="10"/>
      <c r="F2" s="11">
        <f>IF(F3&gt;0,F3,0)</f>
        <v>0.004613733906</v>
      </c>
      <c r="G2" s="10"/>
      <c r="H2" s="11">
        <f>IF(H3&gt;0,H3,0)</f>
        <v>0.01959024974</v>
      </c>
      <c r="I2" s="12">
        <f>MEDIAN(J2,L2,N2,P2,R2,T2,V29,H2,F2,D2,B2,V2)</f>
        <v>0.0007090369988</v>
      </c>
      <c r="J2" s="11">
        <f>IF(J3&gt;0,J3,0)</f>
        <v>0</v>
      </c>
      <c r="K2" s="13"/>
      <c r="L2" s="11">
        <f>IF(L3&gt;0,L3,0)</f>
        <v>0</v>
      </c>
      <c r="M2" s="13"/>
      <c r="N2" s="11">
        <f>IF(N3&gt;0,N3,0)</f>
        <v>0.004162447969</v>
      </c>
      <c r="O2" s="13"/>
      <c r="P2" s="11">
        <f>IF(P3&gt;0,P3,0)</f>
        <v>0.0007090369988</v>
      </c>
      <c r="Q2" s="13"/>
      <c r="R2" s="11">
        <f>IF(R3&gt;0,R3,0)</f>
        <v>0</v>
      </c>
      <c r="S2" s="13"/>
      <c r="T2" s="11">
        <f>IF(T3&gt;0,T3,0)</f>
        <v>0.001335113485</v>
      </c>
      <c r="U2" s="13"/>
      <c r="V2" s="11">
        <f>IF(V3&gt;0,V3,0)</f>
        <v>0</v>
      </c>
      <c r="W2" s="13"/>
      <c r="X2" s="13"/>
      <c r="Y2" s="13"/>
      <c r="Z2" s="13"/>
      <c r="AA2" s="13"/>
      <c r="AB2" s="13"/>
      <c r="AC2" s="13"/>
      <c r="AD2" s="13"/>
    </row>
    <row r="3">
      <c r="A3" s="11" t="s">
        <v>1636</v>
      </c>
      <c r="B3" s="11">
        <f>B4/B5-1</f>
        <v>0.01422351234</v>
      </c>
      <c r="C3" s="13"/>
      <c r="D3" s="11">
        <f>D4/D5-1</f>
        <v>-0.006768189509</v>
      </c>
      <c r="E3" s="13"/>
      <c r="F3" s="11">
        <f>F4/F5-1</f>
        <v>0.004613733906</v>
      </c>
      <c r="G3" s="13"/>
      <c r="H3" s="11">
        <f>H4/H5-1</f>
        <v>0.01959024974</v>
      </c>
      <c r="I3" s="11" t="s">
        <v>1636</v>
      </c>
      <c r="J3" s="11">
        <f>J4/J5-1</f>
        <v>-0.01723191746</v>
      </c>
      <c r="K3" s="13"/>
      <c r="L3" s="11">
        <f>L4/L5-1</f>
        <v>0</v>
      </c>
      <c r="M3" s="13"/>
      <c r="N3" s="11">
        <f>N4/N5-1</f>
        <v>0.004162447969</v>
      </c>
      <c r="O3" s="13"/>
      <c r="P3" s="11">
        <f>P4/P5-1</f>
        <v>0.0007090369988</v>
      </c>
      <c r="Q3" s="13"/>
      <c r="R3" s="11">
        <f>R4/R5-1</f>
        <v>-0.00354079786</v>
      </c>
      <c r="S3" s="13"/>
      <c r="T3" s="11">
        <f>T4/T5-1</f>
        <v>0.001335113485</v>
      </c>
      <c r="U3" s="13"/>
      <c r="V3" s="11">
        <f>V4/V5-1</f>
        <v>-0.0201000413</v>
      </c>
      <c r="W3" s="13"/>
      <c r="X3" s="13"/>
      <c r="Y3" s="13"/>
      <c r="Z3" s="13"/>
      <c r="AA3" s="13"/>
      <c r="AB3" s="13"/>
      <c r="AC3" s="13"/>
      <c r="AD3" s="13"/>
    </row>
    <row r="4">
      <c r="A4" s="14" t="s">
        <v>1637</v>
      </c>
      <c r="B4" s="7">
        <f>B26</f>
        <v>69.88</v>
      </c>
      <c r="C4" s="7"/>
      <c r="D4" s="7">
        <f>D26</f>
        <v>82.18</v>
      </c>
      <c r="E4" s="7"/>
      <c r="F4" s="7">
        <f>F26</f>
        <v>93.63</v>
      </c>
      <c r="G4" s="7"/>
      <c r="H4" s="7">
        <f>H26</f>
        <v>102.27</v>
      </c>
      <c r="I4" s="14" t="s">
        <v>1637</v>
      </c>
      <c r="J4" s="7">
        <f>J25</f>
        <v>89.54</v>
      </c>
      <c r="K4" s="7"/>
      <c r="L4" s="7">
        <f>L26</f>
        <v>130.9</v>
      </c>
      <c r="M4" s="7"/>
      <c r="N4" s="7">
        <f>N26</f>
        <v>133.89</v>
      </c>
      <c r="O4" s="7"/>
      <c r="P4" s="7">
        <f>P26</f>
        <v>155.25</v>
      </c>
      <c r="Q4" s="7"/>
      <c r="R4" s="7">
        <f>R26</f>
        <v>126.64</v>
      </c>
      <c r="S4" s="7"/>
      <c r="T4" s="7">
        <f>T26</f>
        <v>168.75</v>
      </c>
      <c r="U4" s="7"/>
      <c r="V4" s="7">
        <f>V26</f>
        <v>213.53</v>
      </c>
      <c r="W4" s="7"/>
      <c r="X4" s="7"/>
      <c r="Y4" s="7"/>
      <c r="Z4" s="7"/>
      <c r="AA4" s="7"/>
      <c r="AB4" s="7"/>
      <c r="AC4" s="7"/>
      <c r="AD4" s="7"/>
    </row>
    <row r="5">
      <c r="A5" s="14" t="s">
        <v>1638</v>
      </c>
      <c r="B5" s="14">
        <f>MEDIAN(B7:B257)</f>
        <v>68.9</v>
      </c>
      <c r="C5" s="7"/>
      <c r="D5" s="14">
        <f>MEDIAN(D7:D257)</f>
        <v>82.74</v>
      </c>
      <c r="E5" s="7"/>
      <c r="F5" s="14">
        <f>MEDIAN(F7:F257)</f>
        <v>93.2</v>
      </c>
      <c r="G5" s="7"/>
      <c r="H5" s="14">
        <f>MEDIAN(H7:H257)</f>
        <v>100.305</v>
      </c>
      <c r="I5" s="14" t="s">
        <v>1638</v>
      </c>
      <c r="J5" s="14">
        <f>MEDIAN(J7:J257)</f>
        <v>91.11</v>
      </c>
      <c r="K5" s="7"/>
      <c r="L5" s="14">
        <f>MEDIAN(L7:L257)</f>
        <v>130.9</v>
      </c>
      <c r="M5" s="7"/>
      <c r="N5" s="14">
        <f>MEDIAN(N7:N257)</f>
        <v>133.335</v>
      </c>
      <c r="O5" s="7"/>
      <c r="P5" s="14">
        <f>MEDIAN(P7:P257)</f>
        <v>155.14</v>
      </c>
      <c r="Q5" s="7"/>
      <c r="R5" s="14">
        <f>MEDIAN(R7:R257)</f>
        <v>127.09</v>
      </c>
      <c r="S5" s="7"/>
      <c r="T5" s="14">
        <f>MEDIAN(T7:T257)</f>
        <v>168.525</v>
      </c>
      <c r="U5" s="7"/>
      <c r="V5" s="14">
        <f>MEDIAN(V7:V257)</f>
        <v>217.91</v>
      </c>
      <c r="W5" s="7"/>
      <c r="X5" s="7"/>
      <c r="Y5" s="7"/>
      <c r="Z5" s="7"/>
      <c r="AA5" s="7"/>
      <c r="AB5" s="7"/>
      <c r="AC5" s="7"/>
      <c r="AD5" s="7"/>
    </row>
    <row r="6">
      <c r="A6" s="14" t="str">
        <f>IFERROR(__xludf.DUMMYFUNCTION("GoogleFinance(J1,""high"",date(2014, 12, 1),date(2014, 12, 31),1)"),"Date")</f>
        <v>Date</v>
      </c>
      <c r="B6" s="7" t="str">
        <f>IFERROR(__xludf.DUMMYFUNCTION("""COMPUTED_VALUE"""),"High")</f>
        <v>High</v>
      </c>
      <c r="C6" s="14" t="str">
        <f>IFERROR(__xludf.DUMMYFUNCTION("GoogleFinance(J1,""high"",date(2015, 12, 1),date(2015, 12, 31),1)"),"Date")</f>
        <v>Date</v>
      </c>
      <c r="D6" s="7" t="str">
        <f>IFERROR(__xludf.DUMMYFUNCTION("""COMPUTED_VALUE"""),"High")</f>
        <v>High</v>
      </c>
      <c r="E6" s="14" t="str">
        <f>IFERROR(__xludf.DUMMYFUNCTION("GoogleFinance(J1,""high"",date(2016, 12, 1),date(2016, 12, 31),1)"),"Date")</f>
        <v>Date</v>
      </c>
      <c r="F6" s="7" t="str">
        <f>IFERROR(__xludf.DUMMYFUNCTION("""COMPUTED_VALUE"""),"High")</f>
        <v>High</v>
      </c>
      <c r="G6" s="14" t="str">
        <f>IFERROR(__xludf.DUMMYFUNCTION("GoogleFinance(J1,""high"",date(2017, 12, 1),date(2017, 12, 31),1)"),"Date")</f>
        <v>Date</v>
      </c>
      <c r="H6" s="7" t="str">
        <f>IFERROR(__xludf.DUMMYFUNCTION("""COMPUTED_VALUE"""),"High")</f>
        <v>High</v>
      </c>
      <c r="I6" s="14" t="str">
        <f>IFERROR(__xludf.DUMMYFUNCTION("GoogleFinance(J1,""high"",date(2018, 12, 1),date(2018, 12, 31),1)"),"Date")</f>
        <v>Date</v>
      </c>
      <c r="J6" s="7" t="str">
        <f>IFERROR(__xludf.DUMMYFUNCTION("""COMPUTED_VALUE"""),"High")</f>
        <v>High</v>
      </c>
      <c r="K6" s="14" t="str">
        <f>IFERROR(__xludf.DUMMYFUNCTION("GoogleFinance(J1,""high"",date(2019, 12, 1),date(2019, 12, 31),1)"),"Date")</f>
        <v>Date</v>
      </c>
      <c r="L6" s="7" t="str">
        <f>IFERROR(__xludf.DUMMYFUNCTION("""COMPUTED_VALUE"""),"High")</f>
        <v>High</v>
      </c>
      <c r="M6" s="14" t="str">
        <f>IFERROR(__xludf.DUMMYFUNCTION("GoogleFinance(J1,""high"",date(2020, 12, 1),date(2020, 12, 31),1)"),"Date")</f>
        <v>Date</v>
      </c>
      <c r="N6" s="7" t="str">
        <f>IFERROR(__xludf.DUMMYFUNCTION("""COMPUTED_VALUE"""),"High")</f>
        <v>High</v>
      </c>
      <c r="O6" s="14" t="str">
        <f>IFERROR(__xludf.DUMMYFUNCTION("GoogleFinance(J1,""high"",date(2021, 12, 1),date(2021, 12, 31),1)"),"Date")</f>
        <v>Date</v>
      </c>
      <c r="P6" s="7" t="str">
        <f>IFERROR(__xludf.DUMMYFUNCTION("""COMPUTED_VALUE"""),"High")</f>
        <v>High</v>
      </c>
      <c r="Q6" s="14" t="str">
        <f>IFERROR(__xludf.DUMMYFUNCTION("GoogleFinance(J1,""high"",date(2022, 12, 1),date(2022, 12, 31),1)"),"Date")</f>
        <v>Date</v>
      </c>
      <c r="R6" s="7" t="str">
        <f>IFERROR(__xludf.DUMMYFUNCTION("""COMPUTED_VALUE"""),"High")</f>
        <v>High</v>
      </c>
      <c r="S6" s="14" t="str">
        <f>IFERROR(__xludf.DUMMYFUNCTION("GoogleFinance(J1,""high"",date(2023, 12, 1),date(2023, 12, 31),1)"),"Date")</f>
        <v>Date</v>
      </c>
      <c r="T6" s="7" t="str">
        <f>IFERROR(__xludf.DUMMYFUNCTION("""COMPUTED_VALUE"""),"High")</f>
        <v>High</v>
      </c>
      <c r="U6" s="14" t="str">
        <f>IFERROR(__xludf.DUMMYFUNCTION("GoogleFinance(J1,""high"",date(2024, 12, 1),date(2024, 12, 31),1)"),"Date")</f>
        <v>Date</v>
      </c>
      <c r="V6" s="7" t="str">
        <f>IFERROR(__xludf.DUMMYFUNCTION("""COMPUTED_VALUE"""),"High")</f>
        <v>High</v>
      </c>
      <c r="W6" s="7"/>
      <c r="X6" s="7"/>
      <c r="Y6" s="7"/>
      <c r="Z6" s="7"/>
      <c r="AA6" s="7"/>
      <c r="AB6" s="7"/>
      <c r="AC6" s="7"/>
      <c r="AD6" s="7"/>
    </row>
    <row r="7">
      <c r="A7" s="15">
        <f>IFERROR(__xludf.DUMMYFUNCTION("""COMPUTED_VALUE"""),41974.66666666667)</f>
        <v>41974.66667</v>
      </c>
      <c r="B7" s="7">
        <f>IFERROR(__xludf.DUMMYFUNCTION("""COMPUTED_VALUE"""),67.66)</f>
        <v>67.66</v>
      </c>
      <c r="C7" s="15">
        <f>IFERROR(__xludf.DUMMYFUNCTION("""COMPUTED_VALUE"""),42339.66666666667)</f>
        <v>42339.66667</v>
      </c>
      <c r="D7" s="7">
        <f>IFERROR(__xludf.DUMMYFUNCTION("""COMPUTED_VALUE"""),86.11)</f>
        <v>86.11</v>
      </c>
      <c r="E7" s="15">
        <f>IFERROR(__xludf.DUMMYFUNCTION("""COMPUTED_VALUE"""),42705.66666666667)</f>
        <v>42705.66667</v>
      </c>
      <c r="F7" s="7">
        <f>IFERROR(__xludf.DUMMYFUNCTION("""COMPUTED_VALUE"""),87.41)</f>
        <v>87.41</v>
      </c>
      <c r="G7" s="15">
        <f>IFERROR(__xludf.DUMMYFUNCTION("""COMPUTED_VALUE"""),43070.66666666667)</f>
        <v>43070.66667</v>
      </c>
      <c r="H7" s="7">
        <f>IFERROR(__xludf.DUMMYFUNCTION("""COMPUTED_VALUE"""),101.1)</f>
        <v>101.1</v>
      </c>
      <c r="I7" s="15">
        <f>IFERROR(__xludf.DUMMYFUNCTION("""COMPUTED_VALUE"""),43437.66666666667)</f>
        <v>43437.66667</v>
      </c>
      <c r="J7" s="7">
        <f>IFERROR(__xludf.DUMMYFUNCTION("""COMPUTED_VALUE"""),98.21)</f>
        <v>98.21</v>
      </c>
      <c r="K7" s="15">
        <f>IFERROR(__xludf.DUMMYFUNCTION("""COMPUTED_VALUE"""),43801.66666666667)</f>
        <v>43801.66667</v>
      </c>
      <c r="L7" s="7">
        <f>IFERROR(__xludf.DUMMYFUNCTION("""COMPUTED_VALUE"""),133.58)</f>
        <v>133.58</v>
      </c>
      <c r="M7" s="15">
        <f>IFERROR(__xludf.DUMMYFUNCTION("""COMPUTED_VALUE"""),44166.66666666667)</f>
        <v>44166.66667</v>
      </c>
      <c r="N7" s="7">
        <f>IFERROR(__xludf.DUMMYFUNCTION("""COMPUTED_VALUE"""),132.67)</f>
        <v>132.67</v>
      </c>
      <c r="O7" s="15">
        <f>IFERROR(__xludf.DUMMYFUNCTION("""COMPUTED_VALUE"""),44531.66666666667)</f>
        <v>44531.66667</v>
      </c>
      <c r="P7" s="7">
        <f>IFERROR(__xludf.DUMMYFUNCTION("""COMPUTED_VALUE"""),155.8)</f>
        <v>155.8</v>
      </c>
      <c r="Q7" s="16">
        <f>IFERROR(__xludf.DUMMYFUNCTION("""COMPUTED_VALUE"""),44896.66666666667)</f>
        <v>44896.66667</v>
      </c>
      <c r="R7" s="7">
        <f>IFERROR(__xludf.DUMMYFUNCTION("""COMPUTED_VALUE"""),129.29)</f>
        <v>129.29</v>
      </c>
      <c r="S7" s="16">
        <f>IFERROR(__xludf.DUMMYFUNCTION("""COMPUTED_VALUE"""),45261.66666666667)</f>
        <v>45261.66667</v>
      </c>
      <c r="T7" s="7">
        <f>IFERROR(__xludf.DUMMYFUNCTION("""COMPUTED_VALUE"""),169.03)</f>
        <v>169.03</v>
      </c>
      <c r="U7" s="16">
        <f>IFERROR(__xludf.DUMMYFUNCTION("""COMPUTED_VALUE"""),45628.66666666667)</f>
        <v>45628.66667</v>
      </c>
      <c r="V7" s="7">
        <f>IFERROR(__xludf.DUMMYFUNCTION("""COMPUTED_VALUE"""),227.85)</f>
        <v>227.85</v>
      </c>
      <c r="W7" s="7"/>
      <c r="X7" s="7"/>
      <c r="Y7" s="7"/>
      <c r="Z7" s="7"/>
      <c r="AA7" s="7"/>
      <c r="AB7" s="7"/>
      <c r="AC7" s="7"/>
      <c r="AD7" s="7"/>
    </row>
    <row r="8">
      <c r="A8" s="15">
        <f>IFERROR(__xludf.DUMMYFUNCTION("""COMPUTED_VALUE"""),41975.66666666667)</f>
        <v>41975.66667</v>
      </c>
      <c r="B8" s="7">
        <f>IFERROR(__xludf.DUMMYFUNCTION("""COMPUTED_VALUE"""),67.98)</f>
        <v>67.98</v>
      </c>
      <c r="C8" s="15">
        <f>IFERROR(__xludf.DUMMYFUNCTION("""COMPUTED_VALUE"""),42340.66666666667)</f>
        <v>42340.66667</v>
      </c>
      <c r="D8" s="7">
        <f>IFERROR(__xludf.DUMMYFUNCTION("""COMPUTED_VALUE"""),85.87)</f>
        <v>85.87</v>
      </c>
      <c r="E8" s="15">
        <f>IFERROR(__xludf.DUMMYFUNCTION("""COMPUTED_VALUE"""),42706.66666666667)</f>
        <v>42706.66667</v>
      </c>
      <c r="F8" s="7">
        <f>IFERROR(__xludf.DUMMYFUNCTION("""COMPUTED_VALUE"""),87.01)</f>
        <v>87.01</v>
      </c>
      <c r="G8" s="15">
        <f>IFERROR(__xludf.DUMMYFUNCTION("""COMPUTED_VALUE"""),43073.66666666667)</f>
        <v>43073.66667</v>
      </c>
      <c r="H8" s="7">
        <f>IFERROR(__xludf.DUMMYFUNCTION("""COMPUTED_VALUE"""),100.96)</f>
        <v>100.96</v>
      </c>
      <c r="I8" s="15">
        <f>IFERROR(__xludf.DUMMYFUNCTION("""COMPUTED_VALUE"""),43438.66666666667)</f>
        <v>43438.66667</v>
      </c>
      <c r="J8" s="7">
        <f>IFERROR(__xludf.DUMMYFUNCTION("""COMPUTED_VALUE"""),97.48)</f>
        <v>97.48</v>
      </c>
      <c r="K8" s="15">
        <f>IFERROR(__xludf.DUMMYFUNCTION("""COMPUTED_VALUE"""),43802.66666666667)</f>
        <v>43802.66667</v>
      </c>
      <c r="L8" s="7">
        <f>IFERROR(__xludf.DUMMYFUNCTION("""COMPUTED_VALUE"""),130.77)</f>
        <v>130.77</v>
      </c>
      <c r="M8" s="15">
        <f>IFERROR(__xludf.DUMMYFUNCTION("""COMPUTED_VALUE"""),44167.66666666667)</f>
        <v>44167.66667</v>
      </c>
      <c r="N8" s="7">
        <f>IFERROR(__xludf.DUMMYFUNCTION("""COMPUTED_VALUE"""),132.11)</f>
        <v>132.11</v>
      </c>
      <c r="O8" s="15">
        <f>IFERROR(__xludf.DUMMYFUNCTION("""COMPUTED_VALUE"""),44532.66666666667)</f>
        <v>44532.66667</v>
      </c>
      <c r="P8" s="7">
        <f>IFERROR(__xludf.DUMMYFUNCTION("""COMPUTED_VALUE"""),154.14)</f>
        <v>154.14</v>
      </c>
      <c r="Q8" s="16">
        <f>IFERROR(__xludf.DUMMYFUNCTION("""COMPUTED_VALUE"""),44897.66666666667)</f>
        <v>44897.66667</v>
      </c>
      <c r="R8" s="7">
        <f>IFERROR(__xludf.DUMMYFUNCTION("""COMPUTED_VALUE"""),128.57)</f>
        <v>128.57</v>
      </c>
      <c r="S8" s="16">
        <f>IFERROR(__xludf.DUMMYFUNCTION("""COMPUTED_VALUE"""),45264.66666666667)</f>
        <v>45264.66667</v>
      </c>
      <c r="T8" s="7">
        <f>IFERROR(__xludf.DUMMYFUNCTION("""COMPUTED_VALUE"""),171.58)</f>
        <v>171.58</v>
      </c>
      <c r="U8" s="16">
        <f>IFERROR(__xludf.DUMMYFUNCTION("""COMPUTED_VALUE"""),45629.66666666667)</f>
        <v>45629.66667</v>
      </c>
      <c r="V8" s="7">
        <f>IFERROR(__xludf.DUMMYFUNCTION("""COMPUTED_VALUE"""),229.24)</f>
        <v>229.24</v>
      </c>
      <c r="W8" s="7"/>
      <c r="X8" s="7"/>
      <c r="Y8" s="7"/>
      <c r="Z8" s="7"/>
      <c r="AA8" s="7"/>
      <c r="AB8" s="7"/>
      <c r="AC8" s="7"/>
      <c r="AD8" s="7"/>
    </row>
    <row r="9">
      <c r="A9" s="15">
        <f>IFERROR(__xludf.DUMMYFUNCTION("""COMPUTED_VALUE"""),41976.66666666667)</f>
        <v>41976.66667</v>
      </c>
      <c r="B9" s="7">
        <f>IFERROR(__xludf.DUMMYFUNCTION("""COMPUTED_VALUE"""),69.78)</f>
        <v>69.78</v>
      </c>
      <c r="C9" s="15">
        <f>IFERROR(__xludf.DUMMYFUNCTION("""COMPUTED_VALUE"""),42341.66666666667)</f>
        <v>42341.66667</v>
      </c>
      <c r="D9" s="7">
        <f>IFERROR(__xludf.DUMMYFUNCTION("""COMPUTED_VALUE"""),84.87)</f>
        <v>84.87</v>
      </c>
      <c r="E9" s="15">
        <f>IFERROR(__xludf.DUMMYFUNCTION("""COMPUTED_VALUE"""),42709.66666666667)</f>
        <v>42709.66667</v>
      </c>
      <c r="F9" s="7">
        <f>IFERROR(__xludf.DUMMYFUNCTION("""COMPUTED_VALUE"""),86.71)</f>
        <v>86.71</v>
      </c>
      <c r="G9" s="15">
        <f>IFERROR(__xludf.DUMMYFUNCTION("""COMPUTED_VALUE"""),43074.66666666667)</f>
        <v>43074.66667</v>
      </c>
      <c r="H9" s="7">
        <f>IFERROR(__xludf.DUMMYFUNCTION("""COMPUTED_VALUE"""),100.27)</f>
        <v>100.27</v>
      </c>
      <c r="I9" s="15">
        <f>IFERROR(__xludf.DUMMYFUNCTION("""COMPUTED_VALUE"""),43440.66666666667)</f>
        <v>43440.66667</v>
      </c>
      <c r="J9" s="7">
        <f>IFERROR(__xludf.DUMMYFUNCTION("""COMPUTED_VALUE"""),94.04)</f>
        <v>94.04</v>
      </c>
      <c r="K9" s="15">
        <f>IFERROR(__xludf.DUMMYFUNCTION("""COMPUTED_VALUE"""),43803.66666666667)</f>
        <v>43803.66667</v>
      </c>
      <c r="L9" s="7">
        <f>IFERROR(__xludf.DUMMYFUNCTION("""COMPUTED_VALUE"""),129.8)</f>
        <v>129.8</v>
      </c>
      <c r="M9" s="15">
        <f>IFERROR(__xludf.DUMMYFUNCTION("""COMPUTED_VALUE"""),44168.66666666667)</f>
        <v>44168.66667</v>
      </c>
      <c r="N9" s="7">
        <f>IFERROR(__xludf.DUMMYFUNCTION("""COMPUTED_VALUE"""),132.74)</f>
        <v>132.74</v>
      </c>
      <c r="O9" s="15">
        <f>IFERROR(__xludf.DUMMYFUNCTION("""COMPUTED_VALUE"""),44533.66666666667)</f>
        <v>44533.66667</v>
      </c>
      <c r="P9" s="7">
        <f>IFERROR(__xludf.DUMMYFUNCTION("""COMPUTED_VALUE"""),154.25)</f>
        <v>154.25</v>
      </c>
      <c r="Q9" s="16">
        <f>IFERROR(__xludf.DUMMYFUNCTION("""COMPUTED_VALUE"""),44900.66666666667)</f>
        <v>44900.66667</v>
      </c>
      <c r="R9" s="7">
        <f>IFERROR(__xludf.DUMMYFUNCTION("""COMPUTED_VALUE"""),129.6)</f>
        <v>129.6</v>
      </c>
      <c r="S9" s="16">
        <f>IFERROR(__xludf.DUMMYFUNCTION("""COMPUTED_VALUE"""),45265.66666666667)</f>
        <v>45265.66667</v>
      </c>
      <c r="T9" s="7">
        <f>IFERROR(__xludf.DUMMYFUNCTION("""COMPUTED_VALUE"""),172.28)</f>
        <v>172.28</v>
      </c>
      <c r="U9" s="16">
        <f>IFERROR(__xludf.DUMMYFUNCTION("""COMPUTED_VALUE"""),45630.66666666667)</f>
        <v>45630.66667</v>
      </c>
      <c r="V9" s="7">
        <f>IFERROR(__xludf.DUMMYFUNCTION("""COMPUTED_VALUE"""),227.53)</f>
        <v>227.53</v>
      </c>
      <c r="W9" s="7"/>
      <c r="X9" s="7"/>
      <c r="Y9" s="7"/>
      <c r="Z9" s="7"/>
      <c r="AA9" s="7"/>
      <c r="AB9" s="7"/>
      <c r="AC9" s="7"/>
      <c r="AD9" s="7"/>
    </row>
    <row r="10">
      <c r="A10" s="15">
        <f>IFERROR(__xludf.DUMMYFUNCTION("""COMPUTED_VALUE"""),41977.66666666667)</f>
        <v>41977.66667</v>
      </c>
      <c r="B10" s="7">
        <f>IFERROR(__xludf.DUMMYFUNCTION("""COMPUTED_VALUE"""),69.25)</f>
        <v>69.25</v>
      </c>
      <c r="C10" s="15">
        <f>IFERROR(__xludf.DUMMYFUNCTION("""COMPUTED_VALUE"""),42342.66666666667)</f>
        <v>42342.66667</v>
      </c>
      <c r="D10" s="7">
        <f>IFERROR(__xludf.DUMMYFUNCTION("""COMPUTED_VALUE"""),86.92)</f>
        <v>86.92</v>
      </c>
      <c r="E10" s="15">
        <f>IFERROR(__xludf.DUMMYFUNCTION("""COMPUTED_VALUE"""),42710.66666666667)</f>
        <v>42710.66667</v>
      </c>
      <c r="F10" s="7">
        <f>IFERROR(__xludf.DUMMYFUNCTION("""COMPUTED_VALUE"""),89.25)</f>
        <v>89.25</v>
      </c>
      <c r="G10" s="15">
        <f>IFERROR(__xludf.DUMMYFUNCTION("""COMPUTED_VALUE"""),43075.66666666667)</f>
        <v>43075.66667</v>
      </c>
      <c r="H10" s="7">
        <f>IFERROR(__xludf.DUMMYFUNCTION("""COMPUTED_VALUE"""),99.08)</f>
        <v>99.08</v>
      </c>
      <c r="I10" s="15">
        <f>IFERROR(__xludf.DUMMYFUNCTION("""COMPUTED_VALUE"""),43441.66666666667)</f>
        <v>43441.66667</v>
      </c>
      <c r="J10" s="7">
        <f>IFERROR(__xludf.DUMMYFUNCTION("""COMPUTED_VALUE"""),93.86)</f>
        <v>93.86</v>
      </c>
      <c r="K10" s="15">
        <f>IFERROR(__xludf.DUMMYFUNCTION("""COMPUTED_VALUE"""),43804.66666666667)</f>
        <v>43804.66667</v>
      </c>
      <c r="L10" s="7">
        <f>IFERROR(__xludf.DUMMYFUNCTION("""COMPUTED_VALUE"""),130.75)</f>
        <v>130.75</v>
      </c>
      <c r="M10" s="15">
        <f>IFERROR(__xludf.DUMMYFUNCTION("""COMPUTED_VALUE"""),44169.66666666667)</f>
        <v>44169.66667</v>
      </c>
      <c r="N10" s="7">
        <f>IFERROR(__xludf.DUMMYFUNCTION("""COMPUTED_VALUE"""),133.32)</f>
        <v>133.32</v>
      </c>
      <c r="O10" s="15">
        <f>IFERROR(__xludf.DUMMYFUNCTION("""COMPUTED_VALUE"""),44536.66666666667)</f>
        <v>44536.66667</v>
      </c>
      <c r="P10" s="7">
        <f>IFERROR(__xludf.DUMMYFUNCTION("""COMPUTED_VALUE"""),156.09)</f>
        <v>156.09</v>
      </c>
      <c r="Q10" s="16">
        <f>IFERROR(__xludf.DUMMYFUNCTION("""COMPUTED_VALUE"""),44901.66666666667)</f>
        <v>44901.66667</v>
      </c>
      <c r="R10" s="7">
        <f>IFERROR(__xludf.DUMMYFUNCTION("""COMPUTED_VALUE"""),130.99)</f>
        <v>130.99</v>
      </c>
      <c r="S10" s="16">
        <f>IFERROR(__xludf.DUMMYFUNCTION("""COMPUTED_VALUE"""),45266.66666666667)</f>
        <v>45266.66667</v>
      </c>
      <c r="T10" s="7">
        <f>IFERROR(__xludf.DUMMYFUNCTION("""COMPUTED_VALUE"""),172.95)</f>
        <v>172.95</v>
      </c>
      <c r="U10" s="16">
        <f>IFERROR(__xludf.DUMMYFUNCTION("""COMPUTED_VALUE"""),45631.66666666667)</f>
        <v>45631.66667</v>
      </c>
      <c r="V10" s="7">
        <f>IFERROR(__xludf.DUMMYFUNCTION("""COMPUTED_VALUE"""),226.39)</f>
        <v>226.39</v>
      </c>
      <c r="W10" s="7"/>
      <c r="X10" s="7"/>
      <c r="Y10" s="7"/>
      <c r="Z10" s="7"/>
      <c r="AA10" s="7"/>
      <c r="AB10" s="7"/>
      <c r="AC10" s="7"/>
      <c r="AD10" s="7"/>
    </row>
    <row r="11">
      <c r="A11" s="15">
        <f>IFERROR(__xludf.DUMMYFUNCTION("""COMPUTED_VALUE"""),41978.66666666667)</f>
        <v>41978.66667</v>
      </c>
      <c r="B11" s="7">
        <f>IFERROR(__xludf.DUMMYFUNCTION("""COMPUTED_VALUE"""),69.62)</f>
        <v>69.62</v>
      </c>
      <c r="C11" s="15">
        <f>IFERROR(__xludf.DUMMYFUNCTION("""COMPUTED_VALUE"""),42345.66666666667)</f>
        <v>42345.66667</v>
      </c>
      <c r="D11" s="7">
        <f>IFERROR(__xludf.DUMMYFUNCTION("""COMPUTED_VALUE"""),87.2)</f>
        <v>87.2</v>
      </c>
      <c r="E11" s="15">
        <f>IFERROR(__xludf.DUMMYFUNCTION("""COMPUTED_VALUE"""),42711.66666666667)</f>
        <v>42711.66667</v>
      </c>
      <c r="F11" s="7">
        <f>IFERROR(__xludf.DUMMYFUNCTION("""COMPUTED_VALUE"""),90.24)</f>
        <v>90.24</v>
      </c>
      <c r="G11" s="15">
        <f>IFERROR(__xludf.DUMMYFUNCTION("""COMPUTED_VALUE"""),43076.66666666667)</f>
        <v>43076.66667</v>
      </c>
      <c r="H11" s="7">
        <f>IFERROR(__xludf.DUMMYFUNCTION("""COMPUTED_VALUE"""),99.53)</f>
        <v>99.53</v>
      </c>
      <c r="I11" s="15">
        <f>IFERROR(__xludf.DUMMYFUNCTION("""COMPUTED_VALUE"""),43444.66666666667)</f>
        <v>43444.66667</v>
      </c>
      <c r="J11" s="7">
        <f>IFERROR(__xludf.DUMMYFUNCTION("""COMPUTED_VALUE"""),91.11)</f>
        <v>91.11</v>
      </c>
      <c r="K11" s="15">
        <f>IFERROR(__xludf.DUMMYFUNCTION("""COMPUTED_VALUE"""),43805.66666666667)</f>
        <v>43805.66667</v>
      </c>
      <c r="L11" s="7">
        <f>IFERROR(__xludf.DUMMYFUNCTION("""COMPUTED_VALUE"""),131.66)</f>
        <v>131.66</v>
      </c>
      <c r="M11" s="15">
        <f>IFERROR(__xludf.DUMMYFUNCTION("""COMPUTED_VALUE"""),44172.66666666667)</f>
        <v>44172.66667</v>
      </c>
      <c r="N11" s="7">
        <f>IFERROR(__xludf.DUMMYFUNCTION("""COMPUTED_VALUE"""),132.01)</f>
        <v>132.01</v>
      </c>
      <c r="O11" s="15">
        <f>IFERROR(__xludf.DUMMYFUNCTION("""COMPUTED_VALUE"""),44537.66666666667)</f>
        <v>44537.66667</v>
      </c>
      <c r="P11" s="7">
        <f>IFERROR(__xludf.DUMMYFUNCTION("""COMPUTED_VALUE"""),156.75)</f>
        <v>156.75</v>
      </c>
      <c r="Q11" s="16">
        <f>IFERROR(__xludf.DUMMYFUNCTION("""COMPUTED_VALUE"""),44902.66666666667)</f>
        <v>44902.66667</v>
      </c>
      <c r="R11" s="7">
        <f>IFERROR(__xludf.DUMMYFUNCTION("""COMPUTED_VALUE"""),130.64)</f>
        <v>130.64</v>
      </c>
      <c r="S11" s="16">
        <f>IFERROR(__xludf.DUMMYFUNCTION("""COMPUTED_VALUE"""),45267.66666666667)</f>
        <v>45267.66667</v>
      </c>
      <c r="T11" s="7">
        <f>IFERROR(__xludf.DUMMYFUNCTION("""COMPUTED_VALUE"""),170.21)</f>
        <v>170.21</v>
      </c>
      <c r="U11" s="16">
        <f>IFERROR(__xludf.DUMMYFUNCTION("""COMPUTED_VALUE"""),45632.66666666667)</f>
        <v>45632.66667</v>
      </c>
      <c r="V11" s="7">
        <f>IFERROR(__xludf.DUMMYFUNCTION("""COMPUTED_VALUE"""),225.71)</f>
        <v>225.71</v>
      </c>
      <c r="W11" s="7"/>
      <c r="X11" s="7"/>
      <c r="Y11" s="7"/>
      <c r="Z11" s="7"/>
      <c r="AA11" s="7"/>
      <c r="AB11" s="7"/>
      <c r="AC11" s="7"/>
      <c r="AD11" s="7"/>
    </row>
    <row r="12">
      <c r="A12" s="15">
        <f>IFERROR(__xludf.DUMMYFUNCTION("""COMPUTED_VALUE"""),41981.66666666667)</f>
        <v>41981.66667</v>
      </c>
      <c r="B12" s="7">
        <f>IFERROR(__xludf.DUMMYFUNCTION("""COMPUTED_VALUE"""),69.47)</f>
        <v>69.47</v>
      </c>
      <c r="C12" s="15">
        <f>IFERROR(__xludf.DUMMYFUNCTION("""COMPUTED_VALUE"""),42346.66666666667)</f>
        <v>42346.66667</v>
      </c>
      <c r="D12" s="7">
        <f>IFERROR(__xludf.DUMMYFUNCTION("""COMPUTED_VALUE"""),87.03)</f>
        <v>87.03</v>
      </c>
      <c r="E12" s="15">
        <f>IFERROR(__xludf.DUMMYFUNCTION("""COMPUTED_VALUE"""),42712.66666666667)</f>
        <v>42712.66667</v>
      </c>
      <c r="F12" s="7">
        <f>IFERROR(__xludf.DUMMYFUNCTION("""COMPUTED_VALUE"""),93.82)</f>
        <v>93.82</v>
      </c>
      <c r="G12" s="15">
        <f>IFERROR(__xludf.DUMMYFUNCTION("""COMPUTED_VALUE"""),43077.66666666667)</f>
        <v>43077.66667</v>
      </c>
      <c r="H12" s="7">
        <f>IFERROR(__xludf.DUMMYFUNCTION("""COMPUTED_VALUE"""),99.57)</f>
        <v>99.57</v>
      </c>
      <c r="I12" s="15">
        <f>IFERROR(__xludf.DUMMYFUNCTION("""COMPUTED_VALUE"""),43445.66666666667)</f>
        <v>43445.66667</v>
      </c>
      <c r="J12" s="7">
        <f>IFERROR(__xludf.DUMMYFUNCTION("""COMPUTED_VALUE"""),92.94)</f>
        <v>92.94</v>
      </c>
      <c r="K12" s="15">
        <f>IFERROR(__xludf.DUMMYFUNCTION("""COMPUTED_VALUE"""),43808.66666666667)</f>
        <v>43808.66667</v>
      </c>
      <c r="L12" s="7">
        <f>IFERROR(__xludf.DUMMYFUNCTION("""COMPUTED_VALUE"""),131.74)</f>
        <v>131.74</v>
      </c>
      <c r="M12" s="15">
        <f>IFERROR(__xludf.DUMMYFUNCTION("""COMPUTED_VALUE"""),44173.66666666667)</f>
        <v>44173.66667</v>
      </c>
      <c r="N12" s="7">
        <f>IFERROR(__xludf.DUMMYFUNCTION("""COMPUTED_VALUE"""),132.88)</f>
        <v>132.88</v>
      </c>
      <c r="O12" s="15">
        <f>IFERROR(__xludf.DUMMYFUNCTION("""COMPUTED_VALUE"""),44538.66666666667)</f>
        <v>44538.66667</v>
      </c>
      <c r="P12" s="7">
        <f>IFERROR(__xludf.DUMMYFUNCTION("""COMPUTED_VALUE"""),157.1)</f>
        <v>157.1</v>
      </c>
      <c r="Q12" s="16">
        <f>IFERROR(__xludf.DUMMYFUNCTION("""COMPUTED_VALUE"""),44903.66666666667)</f>
        <v>44903.66667</v>
      </c>
      <c r="R12" s="7">
        <f>IFERROR(__xludf.DUMMYFUNCTION("""COMPUTED_VALUE"""),130.94)</f>
        <v>130.94</v>
      </c>
      <c r="S12" s="16">
        <f>IFERROR(__xludf.DUMMYFUNCTION("""COMPUTED_VALUE"""),45268.66666666667)</f>
        <v>45268.66667</v>
      </c>
      <c r="T12" s="7">
        <f>IFERROR(__xludf.DUMMYFUNCTION("""COMPUTED_VALUE"""),168.3)</f>
        <v>168.3</v>
      </c>
      <c r="U12" s="16">
        <f>IFERROR(__xludf.DUMMYFUNCTION("""COMPUTED_VALUE"""),45635.66666666667)</f>
        <v>45635.66667</v>
      </c>
      <c r="V12" s="7">
        <f>IFERROR(__xludf.DUMMYFUNCTION("""COMPUTED_VALUE"""),223.15)</f>
        <v>223.15</v>
      </c>
      <c r="W12" s="7"/>
      <c r="X12" s="7"/>
      <c r="Y12" s="7"/>
      <c r="Z12" s="7"/>
      <c r="AA12" s="7"/>
      <c r="AB12" s="7"/>
      <c r="AC12" s="7"/>
      <c r="AD12" s="7"/>
    </row>
    <row r="13">
      <c r="A13" s="15">
        <f>IFERROR(__xludf.DUMMYFUNCTION("""COMPUTED_VALUE"""),41982.66666666667)</f>
        <v>41982.66667</v>
      </c>
      <c r="B13" s="7">
        <f>IFERROR(__xludf.DUMMYFUNCTION("""COMPUTED_VALUE"""),68.68)</f>
        <v>68.68</v>
      </c>
      <c r="C13" s="15">
        <f>IFERROR(__xludf.DUMMYFUNCTION("""COMPUTED_VALUE"""),42347.66666666667)</f>
        <v>42347.66667</v>
      </c>
      <c r="D13" s="7">
        <f>IFERROR(__xludf.DUMMYFUNCTION("""COMPUTED_VALUE"""),86.26)</f>
        <v>86.26</v>
      </c>
      <c r="E13" s="15">
        <f>IFERROR(__xludf.DUMMYFUNCTION("""COMPUTED_VALUE"""),42713.66666666667)</f>
        <v>42713.66667</v>
      </c>
      <c r="F13" s="7">
        <f>IFERROR(__xludf.DUMMYFUNCTION("""COMPUTED_VALUE"""),93.54)</f>
        <v>93.54</v>
      </c>
      <c r="G13" s="15">
        <f>IFERROR(__xludf.DUMMYFUNCTION("""COMPUTED_VALUE"""),43080.66666666667)</f>
        <v>43080.66667</v>
      </c>
      <c r="H13" s="7">
        <f>IFERROR(__xludf.DUMMYFUNCTION("""COMPUTED_VALUE"""),100.02)</f>
        <v>100.02</v>
      </c>
      <c r="I13" s="15">
        <f>IFERROR(__xludf.DUMMYFUNCTION("""COMPUTED_VALUE"""),43446.66666666667)</f>
        <v>43446.66667</v>
      </c>
      <c r="J13" s="7">
        <f>IFERROR(__xludf.DUMMYFUNCTION("""COMPUTED_VALUE"""),91.5)</f>
        <v>91.5</v>
      </c>
      <c r="K13" s="15">
        <f>IFERROR(__xludf.DUMMYFUNCTION("""COMPUTED_VALUE"""),43809.66666666667)</f>
        <v>43809.66667</v>
      </c>
      <c r="L13" s="7">
        <f>IFERROR(__xludf.DUMMYFUNCTION("""COMPUTED_VALUE"""),130.76)</f>
        <v>130.76</v>
      </c>
      <c r="M13" s="15">
        <f>IFERROR(__xludf.DUMMYFUNCTION("""COMPUTED_VALUE"""),44174.66666666667)</f>
        <v>44174.66667</v>
      </c>
      <c r="N13" s="7">
        <f>IFERROR(__xludf.DUMMYFUNCTION("""COMPUTED_VALUE"""),132.57)</f>
        <v>132.57</v>
      </c>
      <c r="O13" s="15">
        <f>IFERROR(__xludf.DUMMYFUNCTION("""COMPUTED_VALUE"""),44539.66666666667)</f>
        <v>44539.66667</v>
      </c>
      <c r="P13" s="7">
        <f>IFERROR(__xludf.DUMMYFUNCTION("""COMPUTED_VALUE"""),156.24)</f>
        <v>156.24</v>
      </c>
      <c r="Q13" s="16">
        <f>IFERROR(__xludf.DUMMYFUNCTION("""COMPUTED_VALUE"""),44904.66666666667)</f>
        <v>44904.66667</v>
      </c>
      <c r="R13" s="7">
        <f>IFERROR(__xludf.DUMMYFUNCTION("""COMPUTED_VALUE"""),132.62)</f>
        <v>132.62</v>
      </c>
      <c r="S13" s="16">
        <f>IFERROR(__xludf.DUMMYFUNCTION("""COMPUTED_VALUE"""),45271.66666666667)</f>
        <v>45271.66667</v>
      </c>
      <c r="T13" s="7">
        <f>IFERROR(__xludf.DUMMYFUNCTION("""COMPUTED_VALUE"""),169.58)</f>
        <v>169.58</v>
      </c>
      <c r="U13" s="16">
        <f>IFERROR(__xludf.DUMMYFUNCTION("""COMPUTED_VALUE"""),45636.66666666667)</f>
        <v>45636.66667</v>
      </c>
      <c r="V13" s="7">
        <f>IFERROR(__xludf.DUMMYFUNCTION("""COMPUTED_VALUE"""),218.99)</f>
        <v>218.99</v>
      </c>
      <c r="W13" s="7"/>
      <c r="X13" s="7"/>
      <c r="Y13" s="7"/>
      <c r="Z13" s="7"/>
      <c r="AA13" s="7"/>
      <c r="AB13" s="7"/>
      <c r="AC13" s="7"/>
      <c r="AD13" s="7"/>
    </row>
    <row r="14">
      <c r="A14" s="15">
        <f>IFERROR(__xludf.DUMMYFUNCTION("""COMPUTED_VALUE"""),41983.66666666667)</f>
        <v>41983.66667</v>
      </c>
      <c r="B14" s="7">
        <f>IFERROR(__xludf.DUMMYFUNCTION("""COMPUTED_VALUE"""),68.52)</f>
        <v>68.52</v>
      </c>
      <c r="C14" s="15">
        <f>IFERROR(__xludf.DUMMYFUNCTION("""COMPUTED_VALUE"""),42348.66666666667)</f>
        <v>42348.66667</v>
      </c>
      <c r="D14" s="7">
        <f>IFERROR(__xludf.DUMMYFUNCTION("""COMPUTED_VALUE"""),84.99)</f>
        <v>84.99</v>
      </c>
      <c r="E14" s="15">
        <f>IFERROR(__xludf.DUMMYFUNCTION("""COMPUTED_VALUE"""),42716.66666666667)</f>
        <v>42716.66667</v>
      </c>
      <c r="F14" s="7">
        <f>IFERROR(__xludf.DUMMYFUNCTION("""COMPUTED_VALUE"""),92.72)</f>
        <v>92.72</v>
      </c>
      <c r="G14" s="15">
        <f>IFERROR(__xludf.DUMMYFUNCTION("""COMPUTED_VALUE"""),43081.66666666667)</f>
        <v>43081.66667</v>
      </c>
      <c r="H14" s="7">
        <f>IFERROR(__xludf.DUMMYFUNCTION("""COMPUTED_VALUE"""),101.51)</f>
        <v>101.51</v>
      </c>
      <c r="I14" s="15">
        <f>IFERROR(__xludf.DUMMYFUNCTION("""COMPUTED_VALUE"""),43447.66666666667)</f>
        <v>43447.66667</v>
      </c>
      <c r="J14" s="7">
        <f>IFERROR(__xludf.DUMMYFUNCTION("""COMPUTED_VALUE"""),91.13)</f>
        <v>91.13</v>
      </c>
      <c r="K14" s="15">
        <f>IFERROR(__xludf.DUMMYFUNCTION("""COMPUTED_VALUE"""),43810.66666666667)</f>
        <v>43810.66667</v>
      </c>
      <c r="L14" s="7">
        <f>IFERROR(__xludf.DUMMYFUNCTION("""COMPUTED_VALUE"""),130.54)</f>
        <v>130.54</v>
      </c>
      <c r="M14" s="15">
        <f>IFERROR(__xludf.DUMMYFUNCTION("""COMPUTED_VALUE"""),44175.66666666667)</f>
        <v>44175.66667</v>
      </c>
      <c r="N14" s="7">
        <f>IFERROR(__xludf.DUMMYFUNCTION("""COMPUTED_VALUE"""),132.99)</f>
        <v>132.99</v>
      </c>
      <c r="O14" s="15">
        <f>IFERROR(__xludf.DUMMYFUNCTION("""COMPUTED_VALUE"""),44540.66666666667)</f>
        <v>44540.66667</v>
      </c>
      <c r="P14" s="7">
        <f>IFERROR(__xludf.DUMMYFUNCTION("""COMPUTED_VALUE"""),157.04)</f>
        <v>157.04</v>
      </c>
      <c r="Q14" s="16">
        <f>IFERROR(__xludf.DUMMYFUNCTION("""COMPUTED_VALUE"""),44907.66666666667)</f>
        <v>44907.66667</v>
      </c>
      <c r="R14" s="7">
        <f>IFERROR(__xludf.DUMMYFUNCTION("""COMPUTED_VALUE"""),132.29)</f>
        <v>132.29</v>
      </c>
      <c r="S14" s="16">
        <f>IFERROR(__xludf.DUMMYFUNCTION("""COMPUTED_VALUE"""),45272.66666666667)</f>
        <v>45272.66667</v>
      </c>
      <c r="T14" s="7">
        <f>IFERROR(__xludf.DUMMYFUNCTION("""COMPUTED_VALUE"""),170.8)</f>
        <v>170.8</v>
      </c>
      <c r="U14" s="16">
        <f>IFERROR(__xludf.DUMMYFUNCTION("""COMPUTED_VALUE"""),45637.66666666667)</f>
        <v>45637.66667</v>
      </c>
      <c r="V14" s="7">
        <f>IFERROR(__xludf.DUMMYFUNCTION("""COMPUTED_VALUE"""),217.91)</f>
        <v>217.91</v>
      </c>
      <c r="W14" s="7"/>
      <c r="X14" s="7"/>
      <c r="Y14" s="7"/>
      <c r="Z14" s="7"/>
      <c r="AA14" s="7"/>
      <c r="AB14" s="7"/>
      <c r="AC14" s="7"/>
      <c r="AD14" s="7"/>
    </row>
    <row r="15">
      <c r="A15" s="15">
        <f>IFERROR(__xludf.DUMMYFUNCTION("""COMPUTED_VALUE"""),41984.66666666667)</f>
        <v>41984.66667</v>
      </c>
      <c r="B15" s="7">
        <f>IFERROR(__xludf.DUMMYFUNCTION("""COMPUTED_VALUE"""),68.5)</f>
        <v>68.5</v>
      </c>
      <c r="C15" s="15">
        <f>IFERROR(__xludf.DUMMYFUNCTION("""COMPUTED_VALUE"""),42349.66666666667)</f>
        <v>42349.66667</v>
      </c>
      <c r="D15" s="7">
        <f>IFERROR(__xludf.DUMMYFUNCTION("""COMPUTED_VALUE"""),83.85)</f>
        <v>83.85</v>
      </c>
      <c r="E15" s="15">
        <f>IFERROR(__xludf.DUMMYFUNCTION("""COMPUTED_VALUE"""),42717.66666666667)</f>
        <v>42717.66667</v>
      </c>
      <c r="F15" s="7">
        <f>IFERROR(__xludf.DUMMYFUNCTION("""COMPUTED_VALUE"""),92.54)</f>
        <v>92.54</v>
      </c>
      <c r="G15" s="15">
        <f>IFERROR(__xludf.DUMMYFUNCTION("""COMPUTED_VALUE"""),43082.66666666667)</f>
        <v>43082.66667</v>
      </c>
      <c r="H15" s="7">
        <f>IFERROR(__xludf.DUMMYFUNCTION("""COMPUTED_VALUE"""),100.34)</f>
        <v>100.34</v>
      </c>
      <c r="I15" s="15">
        <f>IFERROR(__xludf.DUMMYFUNCTION("""COMPUTED_VALUE"""),43448.66666666667)</f>
        <v>43448.66667</v>
      </c>
      <c r="J15" s="7">
        <f>IFERROR(__xludf.DUMMYFUNCTION("""COMPUTED_VALUE"""),90.37)</f>
        <v>90.37</v>
      </c>
      <c r="K15" s="15">
        <f>IFERROR(__xludf.DUMMYFUNCTION("""COMPUTED_VALUE"""),43811.66666666667)</f>
        <v>43811.66667</v>
      </c>
      <c r="L15" s="7">
        <f>IFERROR(__xludf.DUMMYFUNCTION("""COMPUTED_VALUE"""),131.47)</f>
        <v>131.47</v>
      </c>
      <c r="M15" s="15">
        <f>IFERROR(__xludf.DUMMYFUNCTION("""COMPUTED_VALUE"""),44176.66666666667)</f>
        <v>44176.66667</v>
      </c>
      <c r="N15" s="7">
        <f>IFERROR(__xludf.DUMMYFUNCTION("""COMPUTED_VALUE"""),133.35)</f>
        <v>133.35</v>
      </c>
      <c r="O15" s="15">
        <f>IFERROR(__xludf.DUMMYFUNCTION("""COMPUTED_VALUE"""),44543.66666666667)</f>
        <v>44543.66667</v>
      </c>
      <c r="P15" s="7">
        <f>IFERROR(__xludf.DUMMYFUNCTION("""COMPUTED_VALUE"""),155.03)</f>
        <v>155.03</v>
      </c>
      <c r="Q15" s="15">
        <f>IFERROR(__xludf.DUMMYFUNCTION("""COMPUTED_VALUE"""),44908.66666666667)</f>
        <v>44908.66667</v>
      </c>
      <c r="R15" s="7">
        <f>IFERROR(__xludf.DUMMYFUNCTION("""COMPUTED_VALUE"""),134.96)</f>
        <v>134.96</v>
      </c>
      <c r="S15" s="16">
        <f>IFERROR(__xludf.DUMMYFUNCTION("""COMPUTED_VALUE"""),45273.66666666667)</f>
        <v>45273.66667</v>
      </c>
      <c r="T15" s="7">
        <f>IFERROR(__xludf.DUMMYFUNCTION("""COMPUTED_VALUE"""),170.26)</f>
        <v>170.26</v>
      </c>
      <c r="U15" s="16">
        <f>IFERROR(__xludf.DUMMYFUNCTION("""COMPUTED_VALUE"""),45638.66666666667)</f>
        <v>45638.66667</v>
      </c>
      <c r="V15" s="7">
        <f>IFERROR(__xludf.DUMMYFUNCTION("""COMPUTED_VALUE"""),220.61)</f>
        <v>220.61</v>
      </c>
      <c r="W15" s="7"/>
      <c r="X15" s="7"/>
      <c r="Y15" s="7"/>
      <c r="Z15" s="7"/>
      <c r="AA15" s="7"/>
      <c r="AB15" s="7"/>
      <c r="AC15" s="7"/>
      <c r="AD15" s="7"/>
    </row>
    <row r="16">
      <c r="A16" s="15">
        <f>IFERROR(__xludf.DUMMYFUNCTION("""COMPUTED_VALUE"""),41985.66666666667)</f>
        <v>41985.66667</v>
      </c>
      <c r="B16" s="7">
        <f>IFERROR(__xludf.DUMMYFUNCTION("""COMPUTED_VALUE"""),67.88)</f>
        <v>67.88</v>
      </c>
      <c r="C16" s="15">
        <f>IFERROR(__xludf.DUMMYFUNCTION("""COMPUTED_VALUE"""),42352.66666666667)</f>
        <v>42352.66667</v>
      </c>
      <c r="D16" s="7">
        <f>IFERROR(__xludf.DUMMYFUNCTION("""COMPUTED_VALUE"""),82.96)</f>
        <v>82.96</v>
      </c>
      <c r="E16" s="15">
        <f>IFERROR(__xludf.DUMMYFUNCTION("""COMPUTED_VALUE"""),42718.66666666667)</f>
        <v>42718.66667</v>
      </c>
      <c r="F16" s="7">
        <f>IFERROR(__xludf.DUMMYFUNCTION("""COMPUTED_VALUE"""),93.38)</f>
        <v>93.38</v>
      </c>
      <c r="G16" s="15">
        <f>IFERROR(__xludf.DUMMYFUNCTION("""COMPUTED_VALUE"""),43083.66666666667)</f>
        <v>43083.66667</v>
      </c>
      <c r="H16" s="7">
        <f>IFERROR(__xludf.DUMMYFUNCTION("""COMPUTED_VALUE"""),99.2)</f>
        <v>99.2</v>
      </c>
      <c r="I16" s="15">
        <f>IFERROR(__xludf.DUMMYFUNCTION("""COMPUTED_VALUE"""),43451.66666666667)</f>
        <v>43451.66667</v>
      </c>
      <c r="J16" s="7">
        <f>IFERROR(__xludf.DUMMYFUNCTION("""COMPUTED_VALUE"""),91.27)</f>
        <v>91.27</v>
      </c>
      <c r="K16" s="15">
        <f>IFERROR(__xludf.DUMMYFUNCTION("""COMPUTED_VALUE"""),43812.66666666667)</f>
        <v>43812.66667</v>
      </c>
      <c r="L16" s="7">
        <f>IFERROR(__xludf.DUMMYFUNCTION("""COMPUTED_VALUE"""),130.7)</f>
        <v>130.7</v>
      </c>
      <c r="M16" s="15">
        <f>IFERROR(__xludf.DUMMYFUNCTION("""COMPUTED_VALUE"""),44179.66666666667)</f>
        <v>44179.66667</v>
      </c>
      <c r="N16" s="7">
        <f>IFERROR(__xludf.DUMMYFUNCTION("""COMPUTED_VALUE"""),134.37)</f>
        <v>134.37</v>
      </c>
      <c r="O16" s="15">
        <f>IFERROR(__xludf.DUMMYFUNCTION("""COMPUTED_VALUE"""),44544.66666666667)</f>
        <v>44544.66667</v>
      </c>
      <c r="P16" s="7">
        <f>IFERROR(__xludf.DUMMYFUNCTION("""COMPUTED_VALUE"""),156.4)</f>
        <v>156.4</v>
      </c>
      <c r="Q16" s="15">
        <f>IFERROR(__xludf.DUMMYFUNCTION("""COMPUTED_VALUE"""),44909.66666666667)</f>
        <v>44909.66667</v>
      </c>
      <c r="R16" s="7">
        <f>IFERROR(__xludf.DUMMYFUNCTION("""COMPUTED_VALUE"""),130.35)</f>
        <v>130.35</v>
      </c>
      <c r="S16" s="16">
        <f>IFERROR(__xludf.DUMMYFUNCTION("""COMPUTED_VALUE"""),45274.66666666667)</f>
        <v>45274.66667</v>
      </c>
      <c r="T16" s="7">
        <f>IFERROR(__xludf.DUMMYFUNCTION("""COMPUTED_VALUE"""),171.11)</f>
        <v>171.11</v>
      </c>
      <c r="U16" s="16">
        <f>IFERROR(__xludf.DUMMYFUNCTION("""COMPUTED_VALUE"""),45639.66666666667)</f>
        <v>45639.66667</v>
      </c>
      <c r="V16" s="7">
        <f>IFERROR(__xludf.DUMMYFUNCTION("""COMPUTED_VALUE"""),219.66)</f>
        <v>219.66</v>
      </c>
      <c r="W16" s="7"/>
      <c r="X16" s="7"/>
      <c r="Y16" s="7"/>
      <c r="Z16" s="7"/>
      <c r="AA16" s="7"/>
      <c r="AB16" s="7"/>
      <c r="AC16" s="7"/>
      <c r="AD16" s="7"/>
    </row>
    <row r="17">
      <c r="A17" s="15">
        <f>IFERROR(__xludf.DUMMYFUNCTION("""COMPUTED_VALUE"""),41988.66666666667)</f>
        <v>41988.66667</v>
      </c>
      <c r="B17" s="7">
        <f>IFERROR(__xludf.DUMMYFUNCTION("""COMPUTED_VALUE"""),66.63)</f>
        <v>66.63</v>
      </c>
      <c r="C17" s="15">
        <f>IFERROR(__xludf.DUMMYFUNCTION("""COMPUTED_VALUE"""),42353.66666666667)</f>
        <v>42353.66667</v>
      </c>
      <c r="D17" s="7">
        <f>IFERROR(__xludf.DUMMYFUNCTION("""COMPUTED_VALUE"""),82.67)</f>
        <v>82.67</v>
      </c>
      <c r="E17" s="15">
        <f>IFERROR(__xludf.DUMMYFUNCTION("""COMPUTED_VALUE"""),42719.66666666667)</f>
        <v>42719.66667</v>
      </c>
      <c r="F17" s="7">
        <f>IFERROR(__xludf.DUMMYFUNCTION("""COMPUTED_VALUE"""),93.82)</f>
        <v>93.82</v>
      </c>
      <c r="G17" s="15">
        <f>IFERROR(__xludf.DUMMYFUNCTION("""COMPUTED_VALUE"""),43084.66666666667)</f>
        <v>43084.66667</v>
      </c>
      <c r="H17" s="7">
        <f>IFERROR(__xludf.DUMMYFUNCTION("""COMPUTED_VALUE"""),99.59)</f>
        <v>99.59</v>
      </c>
      <c r="I17" s="15">
        <f>IFERROR(__xludf.DUMMYFUNCTION("""COMPUTED_VALUE"""),43452.66666666667)</f>
        <v>43452.66667</v>
      </c>
      <c r="J17" s="7">
        <f>IFERROR(__xludf.DUMMYFUNCTION("""COMPUTED_VALUE"""),91.29)</f>
        <v>91.29</v>
      </c>
      <c r="K17" s="15">
        <f>IFERROR(__xludf.DUMMYFUNCTION("""COMPUTED_VALUE"""),43815.66666666667)</f>
        <v>43815.66667</v>
      </c>
      <c r="L17" s="7">
        <f>IFERROR(__xludf.DUMMYFUNCTION("""COMPUTED_VALUE"""),130.84)</f>
        <v>130.84</v>
      </c>
      <c r="M17" s="15">
        <f>IFERROR(__xludf.DUMMYFUNCTION("""COMPUTED_VALUE"""),44180.66666666667)</f>
        <v>44180.66667</v>
      </c>
      <c r="N17" s="7">
        <f>IFERROR(__xludf.DUMMYFUNCTION("""COMPUTED_VALUE"""),133.94)</f>
        <v>133.94</v>
      </c>
      <c r="O17" s="15">
        <f>IFERROR(__xludf.DUMMYFUNCTION("""COMPUTED_VALUE"""),44545.66666666667)</f>
        <v>44545.66667</v>
      </c>
      <c r="P17" s="7">
        <f>IFERROR(__xludf.DUMMYFUNCTION("""COMPUTED_VALUE"""),153.98)</f>
        <v>153.98</v>
      </c>
      <c r="Q17" s="15">
        <f>IFERROR(__xludf.DUMMYFUNCTION("""COMPUTED_VALUE"""),44910.66666666667)</f>
        <v>44910.66667</v>
      </c>
      <c r="R17" s="7">
        <f>IFERROR(__xludf.DUMMYFUNCTION("""COMPUTED_VALUE"""),126.02)</f>
        <v>126.02</v>
      </c>
      <c r="S17" s="16">
        <f>IFERROR(__xludf.DUMMYFUNCTION("""COMPUTED_VALUE"""),45275.66666666667)</f>
        <v>45275.66667</v>
      </c>
      <c r="T17" s="7">
        <f>IFERROR(__xludf.DUMMYFUNCTION("""COMPUTED_VALUE"""),164.19)</f>
        <v>164.19</v>
      </c>
      <c r="U17" s="16">
        <f>IFERROR(__xludf.DUMMYFUNCTION("""COMPUTED_VALUE"""),45642.66666666667)</f>
        <v>45642.66667</v>
      </c>
      <c r="V17" s="7">
        <f>IFERROR(__xludf.DUMMYFUNCTION("""COMPUTED_VALUE"""),218.78)</f>
        <v>218.78</v>
      </c>
      <c r="W17" s="7"/>
      <c r="X17" s="7"/>
      <c r="Y17" s="7"/>
      <c r="Z17" s="7"/>
      <c r="AA17" s="7"/>
      <c r="AB17" s="7"/>
      <c r="AC17" s="7"/>
      <c r="AD17" s="7"/>
    </row>
    <row r="18">
      <c r="A18" s="15">
        <f>IFERROR(__xludf.DUMMYFUNCTION("""COMPUTED_VALUE"""),41989.66666666667)</f>
        <v>41989.66667</v>
      </c>
      <c r="B18" s="7">
        <f>IFERROR(__xludf.DUMMYFUNCTION("""COMPUTED_VALUE"""),66.5)</f>
        <v>66.5</v>
      </c>
      <c r="C18" s="15">
        <f>IFERROR(__xludf.DUMMYFUNCTION("""COMPUTED_VALUE"""),42354.66666666667)</f>
        <v>42354.66667</v>
      </c>
      <c r="D18" s="7">
        <f>IFERROR(__xludf.DUMMYFUNCTION("""COMPUTED_VALUE"""),82.81)</f>
        <v>82.81</v>
      </c>
      <c r="E18" s="15">
        <f>IFERROR(__xludf.DUMMYFUNCTION("""COMPUTED_VALUE"""),42720.66666666667)</f>
        <v>42720.66667</v>
      </c>
      <c r="F18" s="7">
        <f>IFERROR(__xludf.DUMMYFUNCTION("""COMPUTED_VALUE"""),92.65)</f>
        <v>92.65</v>
      </c>
      <c r="G18" s="15">
        <f>IFERROR(__xludf.DUMMYFUNCTION("""COMPUTED_VALUE"""),43087.66666666667)</f>
        <v>43087.66667</v>
      </c>
      <c r="H18" s="7">
        <f>IFERROR(__xludf.DUMMYFUNCTION("""COMPUTED_VALUE"""),99.17)</f>
        <v>99.17</v>
      </c>
      <c r="I18" s="15">
        <f>IFERROR(__xludf.DUMMYFUNCTION("""COMPUTED_VALUE"""),43453.66666666667)</f>
        <v>43453.66667</v>
      </c>
      <c r="J18" s="7">
        <f>IFERROR(__xludf.DUMMYFUNCTION("""COMPUTED_VALUE"""),90.76)</f>
        <v>90.76</v>
      </c>
      <c r="K18" s="15">
        <f>IFERROR(__xludf.DUMMYFUNCTION("""COMPUTED_VALUE"""),43816.66666666667)</f>
        <v>43816.66667</v>
      </c>
      <c r="L18" s="7">
        <f>IFERROR(__xludf.DUMMYFUNCTION("""COMPUTED_VALUE"""),132.35)</f>
        <v>132.35</v>
      </c>
      <c r="M18" s="15">
        <f>IFERROR(__xludf.DUMMYFUNCTION("""COMPUTED_VALUE"""),44181.66666666667)</f>
        <v>44181.66667</v>
      </c>
      <c r="N18" s="7">
        <f>IFERROR(__xludf.DUMMYFUNCTION("""COMPUTED_VALUE"""),134.81)</f>
        <v>134.81</v>
      </c>
      <c r="O18" s="15">
        <f>IFERROR(__xludf.DUMMYFUNCTION("""COMPUTED_VALUE"""),44546.66666666667)</f>
        <v>44546.66667</v>
      </c>
      <c r="P18" s="7">
        <f>IFERROR(__xludf.DUMMYFUNCTION("""COMPUTED_VALUE"""),156.16)</f>
        <v>156.16</v>
      </c>
      <c r="Q18" s="15">
        <f>IFERROR(__xludf.DUMMYFUNCTION("""COMPUTED_VALUE"""),44911.66666666667)</f>
        <v>44911.66667</v>
      </c>
      <c r="R18" s="7">
        <f>IFERROR(__xludf.DUMMYFUNCTION("""COMPUTED_VALUE"""),124.74)</f>
        <v>124.74</v>
      </c>
      <c r="S18" s="16">
        <f>IFERROR(__xludf.DUMMYFUNCTION("""COMPUTED_VALUE"""),45278.66666666667)</f>
        <v>45278.66667</v>
      </c>
      <c r="T18" s="7">
        <f>IFERROR(__xludf.DUMMYFUNCTION("""COMPUTED_VALUE"""),165.93)</f>
        <v>165.93</v>
      </c>
      <c r="U18" s="16">
        <f>IFERROR(__xludf.DUMMYFUNCTION("""COMPUTED_VALUE"""),45643.66666666667)</f>
        <v>45643.66667</v>
      </c>
      <c r="V18" s="7">
        <f>IFERROR(__xludf.DUMMYFUNCTION("""COMPUTED_VALUE"""),216.28)</f>
        <v>216.28</v>
      </c>
      <c r="W18" s="7"/>
      <c r="X18" s="7"/>
      <c r="Y18" s="7"/>
      <c r="Z18" s="7"/>
      <c r="AA18" s="7"/>
      <c r="AB18" s="7"/>
      <c r="AC18" s="7"/>
      <c r="AD18" s="7"/>
    </row>
    <row r="19">
      <c r="A19" s="15">
        <f>IFERROR(__xludf.DUMMYFUNCTION("""COMPUTED_VALUE"""),41990.66666666667)</f>
        <v>41990.66667</v>
      </c>
      <c r="B19" s="7">
        <f>IFERROR(__xludf.DUMMYFUNCTION("""COMPUTED_VALUE"""),66.42)</f>
        <v>66.42</v>
      </c>
      <c r="C19" s="15">
        <f>IFERROR(__xludf.DUMMYFUNCTION("""COMPUTED_VALUE"""),42355.66666666667)</f>
        <v>42355.66667</v>
      </c>
      <c r="D19" s="7">
        <f>IFERROR(__xludf.DUMMYFUNCTION("""COMPUTED_VALUE"""),82.5)</f>
        <v>82.5</v>
      </c>
      <c r="E19" s="15">
        <f>IFERROR(__xludf.DUMMYFUNCTION("""COMPUTED_VALUE"""),42723.66666666667)</f>
        <v>42723.66667</v>
      </c>
      <c r="F19" s="7">
        <f>IFERROR(__xludf.DUMMYFUNCTION("""COMPUTED_VALUE"""),92.63)</f>
        <v>92.63</v>
      </c>
      <c r="G19" s="15">
        <f>IFERROR(__xludf.DUMMYFUNCTION("""COMPUTED_VALUE"""),43088.66666666667)</f>
        <v>43088.66667</v>
      </c>
      <c r="H19" s="7">
        <f>IFERROR(__xludf.DUMMYFUNCTION("""COMPUTED_VALUE"""),99.68)</f>
        <v>99.68</v>
      </c>
      <c r="I19" s="15">
        <f>IFERROR(__xludf.DUMMYFUNCTION("""COMPUTED_VALUE"""),43454.66666666667)</f>
        <v>43454.66667</v>
      </c>
      <c r="J19" s="7">
        <f>IFERROR(__xludf.DUMMYFUNCTION("""COMPUTED_VALUE"""),88.04)</f>
        <v>88.04</v>
      </c>
      <c r="K19" s="15">
        <f>IFERROR(__xludf.DUMMYFUNCTION("""COMPUTED_VALUE"""),43817.66666666667)</f>
        <v>43817.66667</v>
      </c>
      <c r="L19" s="7">
        <f>IFERROR(__xludf.DUMMYFUNCTION("""COMPUTED_VALUE"""),132.49)</f>
        <v>132.49</v>
      </c>
      <c r="M19" s="15">
        <f>IFERROR(__xludf.DUMMYFUNCTION("""COMPUTED_VALUE"""),44182.66666666667)</f>
        <v>44182.66667</v>
      </c>
      <c r="N19" s="7">
        <f>IFERROR(__xludf.DUMMYFUNCTION("""COMPUTED_VALUE"""),135.2)</f>
        <v>135.2</v>
      </c>
      <c r="O19" s="15">
        <f>IFERROR(__xludf.DUMMYFUNCTION("""COMPUTED_VALUE"""),44547.66666666667)</f>
        <v>44547.66667</v>
      </c>
      <c r="P19" s="7">
        <f>IFERROR(__xludf.DUMMYFUNCTION("""COMPUTED_VALUE"""),153.72)</f>
        <v>153.72</v>
      </c>
      <c r="Q19" s="15">
        <f>IFERROR(__xludf.DUMMYFUNCTION("""COMPUTED_VALUE"""),44914.66666666667)</f>
        <v>44914.66667</v>
      </c>
      <c r="R19" s="7">
        <f>IFERROR(__xludf.DUMMYFUNCTION("""COMPUTED_VALUE"""),123.87)</f>
        <v>123.87</v>
      </c>
      <c r="S19" s="16">
        <f>IFERROR(__xludf.DUMMYFUNCTION("""COMPUTED_VALUE"""),45279.66666666667)</f>
        <v>45279.66667</v>
      </c>
      <c r="T19" s="7">
        <f>IFERROR(__xludf.DUMMYFUNCTION("""COMPUTED_VALUE"""),167.74)</f>
        <v>167.74</v>
      </c>
      <c r="U19" s="16">
        <f>IFERROR(__xludf.DUMMYFUNCTION("""COMPUTED_VALUE"""),45644.66666666667)</f>
        <v>45644.66667</v>
      </c>
      <c r="V19" s="7">
        <f>IFERROR(__xludf.DUMMYFUNCTION("""COMPUTED_VALUE"""),214.77)</f>
        <v>214.77</v>
      </c>
      <c r="W19" s="7"/>
      <c r="X19" s="7"/>
      <c r="Y19" s="7"/>
      <c r="Z19" s="7"/>
      <c r="AA19" s="7"/>
      <c r="AB19" s="7"/>
      <c r="AC19" s="7"/>
      <c r="AD19" s="7"/>
    </row>
    <row r="20">
      <c r="A20" s="15">
        <f>IFERROR(__xludf.DUMMYFUNCTION("""COMPUTED_VALUE"""),41991.66666666667)</f>
        <v>41991.66667</v>
      </c>
      <c r="B20" s="7">
        <f>IFERROR(__xludf.DUMMYFUNCTION("""COMPUTED_VALUE"""),67.71)</f>
        <v>67.71</v>
      </c>
      <c r="C20" s="15">
        <f>IFERROR(__xludf.DUMMYFUNCTION("""COMPUTED_VALUE"""),42356.66666666667)</f>
        <v>42356.66667</v>
      </c>
      <c r="D20" s="7">
        <f>IFERROR(__xludf.DUMMYFUNCTION("""COMPUTED_VALUE"""),80.91)</f>
        <v>80.91</v>
      </c>
      <c r="E20" s="15">
        <f>IFERROR(__xludf.DUMMYFUNCTION("""COMPUTED_VALUE"""),42724.66666666667)</f>
        <v>42724.66667</v>
      </c>
      <c r="F20" s="7">
        <f>IFERROR(__xludf.DUMMYFUNCTION("""COMPUTED_VALUE"""),93.2)</f>
        <v>93.2</v>
      </c>
      <c r="G20" s="15">
        <f>IFERROR(__xludf.DUMMYFUNCTION("""COMPUTED_VALUE"""),43089.66666666667)</f>
        <v>43089.66667</v>
      </c>
      <c r="H20" s="7">
        <f>IFERROR(__xludf.DUMMYFUNCTION("""COMPUTED_VALUE"""),99.98)</f>
        <v>99.98</v>
      </c>
      <c r="I20" s="15">
        <f>IFERROR(__xludf.DUMMYFUNCTION("""COMPUTED_VALUE"""),43455.66666666667)</f>
        <v>43455.66667</v>
      </c>
      <c r="J20" s="7">
        <f>IFERROR(__xludf.DUMMYFUNCTION("""COMPUTED_VALUE"""),88.63)</f>
        <v>88.63</v>
      </c>
      <c r="K20" s="15">
        <f>IFERROR(__xludf.DUMMYFUNCTION("""COMPUTED_VALUE"""),43818.66666666667)</f>
        <v>43818.66667</v>
      </c>
      <c r="L20" s="7">
        <f>IFERROR(__xludf.DUMMYFUNCTION("""COMPUTED_VALUE"""),131.75)</f>
        <v>131.75</v>
      </c>
      <c r="M20" s="15">
        <f>IFERROR(__xludf.DUMMYFUNCTION("""COMPUTED_VALUE"""),44183.66666666667)</f>
        <v>44183.66667</v>
      </c>
      <c r="N20" s="7">
        <f>IFERROR(__xludf.DUMMYFUNCTION("""COMPUTED_VALUE"""),133.61)</f>
        <v>133.61</v>
      </c>
      <c r="O20" s="15">
        <f>IFERROR(__xludf.DUMMYFUNCTION("""COMPUTED_VALUE"""),44550.66666666667)</f>
        <v>44550.66667</v>
      </c>
      <c r="P20" s="7">
        <f>IFERROR(__xludf.DUMMYFUNCTION("""COMPUTED_VALUE"""),149.62)</f>
        <v>149.62</v>
      </c>
      <c r="Q20" s="15">
        <f>IFERROR(__xludf.DUMMYFUNCTION("""COMPUTED_VALUE"""),44915.66666666667)</f>
        <v>44915.66667</v>
      </c>
      <c r="R20" s="7">
        <f>IFERROR(__xludf.DUMMYFUNCTION("""COMPUTED_VALUE"""),123.43)</f>
        <v>123.43</v>
      </c>
      <c r="S20" s="16">
        <f>IFERROR(__xludf.DUMMYFUNCTION("""COMPUTED_VALUE"""),45280.66666666667)</f>
        <v>45280.66667</v>
      </c>
      <c r="T20" s="7">
        <f>IFERROR(__xludf.DUMMYFUNCTION("""COMPUTED_VALUE"""),167.96)</f>
        <v>167.96</v>
      </c>
      <c r="U20" s="16">
        <f>IFERROR(__xludf.DUMMYFUNCTION("""COMPUTED_VALUE"""),45645.66666666667)</f>
        <v>45645.66667</v>
      </c>
      <c r="V20" s="7">
        <f>IFERROR(__xludf.DUMMYFUNCTION("""COMPUTED_VALUE"""),210.81)</f>
        <v>210.81</v>
      </c>
      <c r="W20" s="7"/>
      <c r="X20" s="7"/>
      <c r="Y20" s="7"/>
      <c r="Z20" s="7"/>
      <c r="AA20" s="7"/>
      <c r="AB20" s="7"/>
      <c r="AC20" s="7"/>
      <c r="AD20" s="7"/>
    </row>
    <row r="21" ht="15.75" customHeight="1">
      <c r="A21" s="15">
        <f>IFERROR(__xludf.DUMMYFUNCTION("""COMPUTED_VALUE"""),41992.66666666667)</f>
        <v>41992.66667</v>
      </c>
      <c r="B21" s="7">
        <f>IFERROR(__xludf.DUMMYFUNCTION("""COMPUTED_VALUE"""),68.8)</f>
        <v>68.8</v>
      </c>
      <c r="C21" s="15">
        <f>IFERROR(__xludf.DUMMYFUNCTION("""COMPUTED_VALUE"""),42359.66666666667)</f>
        <v>42359.66667</v>
      </c>
      <c r="D21" s="7">
        <f>IFERROR(__xludf.DUMMYFUNCTION("""COMPUTED_VALUE"""),80.27)</f>
        <v>80.27</v>
      </c>
      <c r="E21" s="15">
        <f>IFERROR(__xludf.DUMMYFUNCTION("""COMPUTED_VALUE"""),42725.66666666667)</f>
        <v>42725.66667</v>
      </c>
      <c r="F21" s="7">
        <f>IFERROR(__xludf.DUMMYFUNCTION("""COMPUTED_VALUE"""),92.67)</f>
        <v>92.67</v>
      </c>
      <c r="G21" s="15">
        <f>IFERROR(__xludf.DUMMYFUNCTION("""COMPUTED_VALUE"""),43090.66666666667)</f>
        <v>43090.66667</v>
      </c>
      <c r="H21" s="7">
        <f>IFERROR(__xludf.DUMMYFUNCTION("""COMPUTED_VALUE"""),101.45)</f>
        <v>101.45</v>
      </c>
      <c r="I21" s="15">
        <f>IFERROR(__xludf.DUMMYFUNCTION("""COMPUTED_VALUE"""),43458.54166666667)</f>
        <v>43458.54167</v>
      </c>
      <c r="J21" s="7">
        <f>IFERROR(__xludf.DUMMYFUNCTION("""COMPUTED_VALUE"""),84.82)</f>
        <v>84.82</v>
      </c>
      <c r="K21" s="15">
        <f>IFERROR(__xludf.DUMMYFUNCTION("""COMPUTED_VALUE"""),43819.66666666667)</f>
        <v>43819.66667</v>
      </c>
      <c r="L21" s="7">
        <f>IFERROR(__xludf.DUMMYFUNCTION("""COMPUTED_VALUE"""),132.86)</f>
        <v>132.86</v>
      </c>
      <c r="M21" s="15">
        <f>IFERROR(__xludf.DUMMYFUNCTION("""COMPUTED_VALUE"""),44186.66666666667)</f>
        <v>44186.66667</v>
      </c>
      <c r="N21" s="7">
        <f>IFERROR(__xludf.DUMMYFUNCTION("""COMPUTED_VALUE"""),131.62)</f>
        <v>131.62</v>
      </c>
      <c r="O21" s="15">
        <f>IFERROR(__xludf.DUMMYFUNCTION("""COMPUTED_VALUE"""),44551.66666666667)</f>
        <v>44551.66667</v>
      </c>
      <c r="P21" s="7">
        <f>IFERROR(__xludf.DUMMYFUNCTION("""COMPUTED_VALUE"""),152.97)</f>
        <v>152.97</v>
      </c>
      <c r="Q21" s="15">
        <f>IFERROR(__xludf.DUMMYFUNCTION("""COMPUTED_VALUE"""),44916.66666666667)</f>
        <v>44916.66667</v>
      </c>
      <c r="R21" s="7">
        <f>IFERROR(__xludf.DUMMYFUNCTION("""COMPUTED_VALUE"""),123.72)</f>
        <v>123.72</v>
      </c>
      <c r="S21" s="16">
        <f>IFERROR(__xludf.DUMMYFUNCTION("""COMPUTED_VALUE"""),45281.66666666667)</f>
        <v>45281.66667</v>
      </c>
      <c r="T21" s="7">
        <f>IFERROR(__xludf.DUMMYFUNCTION("""COMPUTED_VALUE"""),165.73)</f>
        <v>165.73</v>
      </c>
      <c r="U21" s="16">
        <f>IFERROR(__xludf.DUMMYFUNCTION("""COMPUTED_VALUE"""),45646.66666666667)</f>
        <v>45646.66667</v>
      </c>
      <c r="V21" s="7">
        <f>IFERROR(__xludf.DUMMYFUNCTION("""COMPUTED_VALUE"""),212.79)</f>
        <v>212.79</v>
      </c>
      <c r="W21" s="7"/>
      <c r="X21" s="7"/>
      <c r="Y21" s="7"/>
      <c r="Z21" s="7"/>
      <c r="AA21" s="7"/>
      <c r="AB21" s="7"/>
      <c r="AC21" s="7"/>
      <c r="AD21" s="7"/>
    </row>
    <row r="22" ht="15.75" customHeight="1">
      <c r="A22" s="15">
        <f>IFERROR(__xludf.DUMMYFUNCTION("""COMPUTED_VALUE"""),41995.66666666667)</f>
        <v>41995.66667</v>
      </c>
      <c r="B22" s="7">
        <f>IFERROR(__xludf.DUMMYFUNCTION("""COMPUTED_VALUE"""),69.0)</f>
        <v>69</v>
      </c>
      <c r="C22" s="15">
        <f>IFERROR(__xludf.DUMMYFUNCTION("""COMPUTED_VALUE"""),42360.66666666667)</f>
        <v>42360.66667</v>
      </c>
      <c r="D22" s="7">
        <f>IFERROR(__xludf.DUMMYFUNCTION("""COMPUTED_VALUE"""),80.78)</f>
        <v>80.78</v>
      </c>
      <c r="E22" s="15">
        <f>IFERROR(__xludf.DUMMYFUNCTION("""COMPUTED_VALUE"""),42726.66666666667)</f>
        <v>42726.66667</v>
      </c>
      <c r="F22" s="7">
        <f>IFERROR(__xludf.DUMMYFUNCTION("""COMPUTED_VALUE"""),93.36)</f>
        <v>93.36</v>
      </c>
      <c r="G22" s="15">
        <f>IFERROR(__xludf.DUMMYFUNCTION("""COMPUTED_VALUE"""),43091.66666666667)</f>
        <v>43091.66667</v>
      </c>
      <c r="H22" s="7">
        <f>IFERROR(__xludf.DUMMYFUNCTION("""COMPUTED_VALUE"""),102.14)</f>
        <v>102.14</v>
      </c>
      <c r="I22" s="15">
        <f>IFERROR(__xludf.DUMMYFUNCTION("""COMPUTED_VALUE"""),43460.66666666667)</f>
        <v>43460.66667</v>
      </c>
      <c r="J22" s="7">
        <f>IFERROR(__xludf.DUMMYFUNCTION("""COMPUTED_VALUE"""),87.17)</f>
        <v>87.17</v>
      </c>
      <c r="K22" s="15">
        <f>IFERROR(__xludf.DUMMYFUNCTION("""COMPUTED_VALUE"""),43822.66666666667)</f>
        <v>43822.66667</v>
      </c>
      <c r="L22" s="7">
        <f>IFERROR(__xludf.DUMMYFUNCTION("""COMPUTED_VALUE"""),131.17)</f>
        <v>131.17</v>
      </c>
      <c r="M22" s="15">
        <f>IFERROR(__xludf.DUMMYFUNCTION("""COMPUTED_VALUE"""),44187.66666666667)</f>
        <v>44187.66667</v>
      </c>
      <c r="N22" s="7">
        <f>IFERROR(__xludf.DUMMYFUNCTION("""COMPUTED_VALUE"""),132.52)</f>
        <v>132.52</v>
      </c>
      <c r="O22" s="15">
        <f>IFERROR(__xludf.DUMMYFUNCTION("""COMPUTED_VALUE"""),44552.66666666667)</f>
        <v>44552.66667</v>
      </c>
      <c r="P22" s="7">
        <f>IFERROR(__xludf.DUMMYFUNCTION("""COMPUTED_VALUE"""),152.45)</f>
        <v>152.45</v>
      </c>
      <c r="Q22" s="15">
        <f>IFERROR(__xludf.DUMMYFUNCTION("""COMPUTED_VALUE"""),44917.66666666667)</f>
        <v>44917.66667</v>
      </c>
      <c r="R22" s="7">
        <f>IFERROR(__xludf.DUMMYFUNCTION("""COMPUTED_VALUE"""),123.99)</f>
        <v>123.99</v>
      </c>
      <c r="S22" s="16">
        <f>IFERROR(__xludf.DUMMYFUNCTION("""COMPUTED_VALUE"""),45282.66666666667)</f>
        <v>45282.66667</v>
      </c>
      <c r="T22" s="7">
        <f>IFERROR(__xludf.DUMMYFUNCTION("""COMPUTED_VALUE"""),166.89)</f>
        <v>166.89</v>
      </c>
      <c r="U22" s="16">
        <f>IFERROR(__xludf.DUMMYFUNCTION("""COMPUTED_VALUE"""),45649.66666666667)</f>
        <v>45649.66667</v>
      </c>
      <c r="V22" s="7">
        <f>IFERROR(__xludf.DUMMYFUNCTION("""COMPUTED_VALUE"""),212.92)</f>
        <v>212.92</v>
      </c>
      <c r="W22" s="7"/>
      <c r="X22" s="7"/>
      <c r="Y22" s="7"/>
      <c r="Z22" s="7"/>
      <c r="AA22" s="7"/>
      <c r="AB22" s="7"/>
      <c r="AC22" s="7"/>
      <c r="AD22" s="7"/>
    </row>
    <row r="23" ht="15.75" customHeight="1">
      <c r="A23" s="15">
        <f>IFERROR(__xludf.DUMMYFUNCTION("""COMPUTED_VALUE"""),41996.66666666667)</f>
        <v>41996.66667</v>
      </c>
      <c r="B23" s="7">
        <f>IFERROR(__xludf.DUMMYFUNCTION("""COMPUTED_VALUE"""),69.66)</f>
        <v>69.66</v>
      </c>
      <c r="C23" s="15">
        <f>IFERROR(__xludf.DUMMYFUNCTION("""COMPUTED_VALUE"""),42361.66666666667)</f>
        <v>42361.66667</v>
      </c>
      <c r="D23" s="7">
        <f>IFERROR(__xludf.DUMMYFUNCTION("""COMPUTED_VALUE"""),81.07)</f>
        <v>81.07</v>
      </c>
      <c r="E23" s="15">
        <f>IFERROR(__xludf.DUMMYFUNCTION("""COMPUTED_VALUE"""),42727.66666666667)</f>
        <v>42727.66667</v>
      </c>
      <c r="F23" s="7">
        <f>IFERROR(__xludf.DUMMYFUNCTION("""COMPUTED_VALUE"""),93.57)</f>
        <v>93.57</v>
      </c>
      <c r="G23" s="15">
        <f>IFERROR(__xludf.DUMMYFUNCTION("""COMPUTED_VALUE"""),43095.66666666667)</f>
        <v>43095.66667</v>
      </c>
      <c r="H23" s="7">
        <f>IFERROR(__xludf.DUMMYFUNCTION("""COMPUTED_VALUE"""),101.96)</f>
        <v>101.96</v>
      </c>
      <c r="I23" s="15">
        <f>IFERROR(__xludf.DUMMYFUNCTION("""COMPUTED_VALUE"""),43461.66666666667)</f>
        <v>43461.66667</v>
      </c>
      <c r="J23" s="7">
        <f>IFERROR(__xludf.DUMMYFUNCTION("""COMPUTED_VALUE"""),88.03)</f>
        <v>88.03</v>
      </c>
      <c r="K23" s="15">
        <f>IFERROR(__xludf.DUMMYFUNCTION("""COMPUTED_VALUE"""),43823.54166666667)</f>
        <v>43823.54167</v>
      </c>
      <c r="L23" s="7">
        <f>IFERROR(__xludf.DUMMYFUNCTION("""COMPUTED_VALUE"""),129.11)</f>
        <v>129.11</v>
      </c>
      <c r="M23" s="15">
        <f>IFERROR(__xludf.DUMMYFUNCTION("""COMPUTED_VALUE"""),44188.66666666667)</f>
        <v>44188.66667</v>
      </c>
      <c r="N23" s="7">
        <f>IFERROR(__xludf.DUMMYFUNCTION("""COMPUTED_VALUE"""),133.45)</f>
        <v>133.45</v>
      </c>
      <c r="O23" s="15">
        <f>IFERROR(__xludf.DUMMYFUNCTION("""COMPUTED_VALUE"""),44553.66666666667)</f>
        <v>44553.66667</v>
      </c>
      <c r="P23" s="7">
        <f>IFERROR(__xludf.DUMMYFUNCTION("""COMPUTED_VALUE"""),153.67)</f>
        <v>153.67</v>
      </c>
      <c r="Q23" s="15">
        <f>IFERROR(__xludf.DUMMYFUNCTION("""COMPUTED_VALUE"""),44918.66666666667)</f>
        <v>44918.66667</v>
      </c>
      <c r="R23" s="7">
        <f>IFERROR(__xludf.DUMMYFUNCTION("""COMPUTED_VALUE"""),125.13)</f>
        <v>125.13</v>
      </c>
      <c r="S23" s="16">
        <f>IFERROR(__xludf.DUMMYFUNCTION("""COMPUTED_VALUE"""),45286.66666666667)</f>
        <v>45286.66667</v>
      </c>
      <c r="T23" s="7">
        <f>IFERROR(__xludf.DUMMYFUNCTION("""COMPUTED_VALUE"""),166.86)</f>
        <v>166.86</v>
      </c>
      <c r="U23" s="16">
        <f>IFERROR(__xludf.DUMMYFUNCTION("""COMPUTED_VALUE"""),45650.54166666667)</f>
        <v>45650.54167</v>
      </c>
      <c r="V23" s="7">
        <f>IFERROR(__xludf.DUMMYFUNCTION("""COMPUTED_VALUE"""),216.3)</f>
        <v>216.3</v>
      </c>
      <c r="W23" s="7"/>
      <c r="X23" s="7"/>
      <c r="Y23" s="7"/>
      <c r="Z23" s="7"/>
      <c r="AA23" s="7"/>
      <c r="AB23" s="7"/>
      <c r="AC23" s="7"/>
      <c r="AD23" s="7"/>
    </row>
    <row r="24" ht="15.75" customHeight="1">
      <c r="A24" s="7">
        <f>IFERROR(__xludf.DUMMYFUNCTION("""COMPUTED_VALUE"""),41997.66666666667)</f>
        <v>41997.66667</v>
      </c>
      <c r="B24" s="7">
        <f>IFERROR(__xludf.DUMMYFUNCTION("""COMPUTED_VALUE"""),69.63)</f>
        <v>69.63</v>
      </c>
      <c r="C24" s="15">
        <f>IFERROR(__xludf.DUMMYFUNCTION("""COMPUTED_VALUE"""),42362.66666666667)</f>
        <v>42362.66667</v>
      </c>
      <c r="D24" s="7">
        <f>IFERROR(__xludf.DUMMYFUNCTION("""COMPUTED_VALUE"""),81.28)</f>
        <v>81.28</v>
      </c>
      <c r="E24" s="15">
        <f>IFERROR(__xludf.DUMMYFUNCTION("""COMPUTED_VALUE"""),42731.66666666667)</f>
        <v>42731.66667</v>
      </c>
      <c r="F24" s="7">
        <f>IFERROR(__xludf.DUMMYFUNCTION("""COMPUTED_VALUE"""),94.14)</f>
        <v>94.14</v>
      </c>
      <c r="G24" s="15">
        <f>IFERROR(__xludf.DUMMYFUNCTION("""COMPUTED_VALUE"""),43096.66666666667)</f>
        <v>43096.66667</v>
      </c>
      <c r="H24" s="7">
        <f>IFERROR(__xludf.DUMMYFUNCTION("""COMPUTED_VALUE"""),102.09)</f>
        <v>102.09</v>
      </c>
      <c r="I24" s="15">
        <f>IFERROR(__xludf.DUMMYFUNCTION("""COMPUTED_VALUE"""),43462.66666666667)</f>
        <v>43462.66667</v>
      </c>
      <c r="J24" s="7">
        <f>IFERROR(__xludf.DUMMYFUNCTION("""COMPUTED_VALUE"""),89.24)</f>
        <v>89.24</v>
      </c>
      <c r="K24" s="15">
        <f>IFERROR(__xludf.DUMMYFUNCTION("""COMPUTED_VALUE"""),43825.66666666667)</f>
        <v>43825.66667</v>
      </c>
      <c r="L24" s="7">
        <f>IFERROR(__xludf.DUMMYFUNCTION("""COMPUTED_VALUE"""),129.65)</f>
        <v>129.65</v>
      </c>
      <c r="M24" s="15">
        <f>IFERROR(__xludf.DUMMYFUNCTION("""COMPUTED_VALUE"""),44189.54166666667)</f>
        <v>44189.54167</v>
      </c>
      <c r="N24" s="7">
        <f>IFERROR(__xludf.DUMMYFUNCTION("""COMPUTED_VALUE"""),132.85)</f>
        <v>132.85</v>
      </c>
      <c r="O24" s="15">
        <f>IFERROR(__xludf.DUMMYFUNCTION("""COMPUTED_VALUE"""),44557.66666666667)</f>
        <v>44557.66667</v>
      </c>
      <c r="P24" s="7">
        <f>IFERROR(__xludf.DUMMYFUNCTION("""COMPUTED_VALUE"""),153.55)</f>
        <v>153.55</v>
      </c>
      <c r="Q24" s="15">
        <f>IFERROR(__xludf.DUMMYFUNCTION("""COMPUTED_VALUE"""),44922.66666666667)</f>
        <v>44922.66667</v>
      </c>
      <c r="R24" s="7">
        <f>IFERROR(__xludf.DUMMYFUNCTION("""COMPUTED_VALUE"""),125.59)</f>
        <v>125.59</v>
      </c>
      <c r="S24" s="15">
        <f>IFERROR(__xludf.DUMMYFUNCTION("""COMPUTED_VALUE"""),45287.66666666667)</f>
        <v>45287.66667</v>
      </c>
      <c r="T24" s="7">
        <f>IFERROR(__xludf.DUMMYFUNCTION("""COMPUTED_VALUE"""),167.44)</f>
        <v>167.44</v>
      </c>
      <c r="U24" s="16">
        <f>IFERROR(__xludf.DUMMYFUNCTION("""COMPUTED_VALUE"""),45652.66666666667)</f>
        <v>45652.66667</v>
      </c>
      <c r="V24" s="7">
        <f>IFERROR(__xludf.DUMMYFUNCTION("""COMPUTED_VALUE"""),217.75)</f>
        <v>217.75</v>
      </c>
      <c r="W24" s="7"/>
      <c r="X24" s="7"/>
      <c r="Y24" s="7"/>
      <c r="Z24" s="7"/>
      <c r="AA24" s="7"/>
      <c r="AB24" s="7"/>
      <c r="AC24" s="7"/>
      <c r="AD24" s="7"/>
    </row>
    <row r="25" ht="15.75" customHeight="1">
      <c r="A25" s="7">
        <f>IFERROR(__xludf.DUMMYFUNCTION("""COMPUTED_VALUE"""),41999.66666666667)</f>
        <v>41999.66667</v>
      </c>
      <c r="B25" s="7">
        <f>IFERROR(__xludf.DUMMYFUNCTION("""COMPUTED_VALUE"""),69.53)</f>
        <v>69.53</v>
      </c>
      <c r="C25" s="15">
        <f>IFERROR(__xludf.DUMMYFUNCTION("""COMPUTED_VALUE"""),42366.66666666667)</f>
        <v>42366.66667</v>
      </c>
      <c r="D25" s="7">
        <f>IFERROR(__xludf.DUMMYFUNCTION("""COMPUTED_VALUE"""),81.06)</f>
        <v>81.06</v>
      </c>
      <c r="E25" s="15">
        <f>IFERROR(__xludf.DUMMYFUNCTION("""COMPUTED_VALUE"""),42732.66666666667)</f>
        <v>42732.66667</v>
      </c>
      <c r="F25" s="7">
        <f>IFERROR(__xludf.DUMMYFUNCTION("""COMPUTED_VALUE"""),94.4)</f>
        <v>94.4</v>
      </c>
      <c r="G25" s="15">
        <f>IFERROR(__xludf.DUMMYFUNCTION("""COMPUTED_VALUE"""),43097.66666666667)</f>
        <v>43097.66667</v>
      </c>
      <c r="H25" s="7">
        <f>IFERROR(__xludf.DUMMYFUNCTION("""COMPUTED_VALUE"""),101.81)</f>
        <v>101.81</v>
      </c>
      <c r="I25" s="7">
        <f>IFERROR(__xludf.DUMMYFUNCTION("""COMPUTED_VALUE"""),43465.66666666667)</f>
        <v>43465.66667</v>
      </c>
      <c r="J25" s="7">
        <f>IFERROR(__xludf.DUMMYFUNCTION("""COMPUTED_VALUE"""),89.54)</f>
        <v>89.54</v>
      </c>
      <c r="K25" s="15">
        <f>IFERROR(__xludf.DUMMYFUNCTION("""COMPUTED_VALUE"""),43826.66666666667)</f>
        <v>43826.66667</v>
      </c>
      <c r="L25" s="7">
        <f>IFERROR(__xludf.DUMMYFUNCTION("""COMPUTED_VALUE"""),129.7)</f>
        <v>129.7</v>
      </c>
      <c r="M25" s="15">
        <f>IFERROR(__xludf.DUMMYFUNCTION("""COMPUTED_VALUE"""),44193.66666666667)</f>
        <v>44193.66667</v>
      </c>
      <c r="N25" s="7">
        <f>IFERROR(__xludf.DUMMYFUNCTION("""COMPUTED_VALUE"""),134.04)</f>
        <v>134.04</v>
      </c>
      <c r="O25" s="15">
        <f>IFERROR(__xludf.DUMMYFUNCTION("""COMPUTED_VALUE"""),44558.66666666667)</f>
        <v>44558.66667</v>
      </c>
      <c r="P25" s="7">
        <f>IFERROR(__xludf.DUMMYFUNCTION("""COMPUTED_VALUE"""),154.87)</f>
        <v>154.87</v>
      </c>
      <c r="Q25" s="15">
        <f>IFERROR(__xludf.DUMMYFUNCTION("""COMPUTED_VALUE"""),44923.66666666667)</f>
        <v>44923.66667</v>
      </c>
      <c r="R25" s="7">
        <f>IFERROR(__xludf.DUMMYFUNCTION("""COMPUTED_VALUE"""),125.33)</f>
        <v>125.33</v>
      </c>
      <c r="S25" s="15">
        <f>IFERROR(__xludf.DUMMYFUNCTION("""COMPUTED_VALUE"""),45288.66666666667)</f>
        <v>45288.66667</v>
      </c>
      <c r="T25" s="7">
        <f>IFERROR(__xludf.DUMMYFUNCTION("""COMPUTED_VALUE"""),168.22)</f>
        <v>168.22</v>
      </c>
      <c r="U25" s="16">
        <f>IFERROR(__xludf.DUMMYFUNCTION("""COMPUTED_VALUE"""),45653.66666666667)</f>
        <v>45653.66667</v>
      </c>
      <c r="V25" s="7">
        <f>IFERROR(__xludf.DUMMYFUNCTION("""COMPUTED_VALUE"""),217.74)</f>
        <v>217.74</v>
      </c>
      <c r="W25" s="7"/>
      <c r="X25" s="7"/>
      <c r="Y25" s="7"/>
      <c r="Z25" s="7"/>
      <c r="AA25" s="7"/>
      <c r="AB25" s="7"/>
      <c r="AC25" s="7"/>
      <c r="AD25" s="7"/>
    </row>
    <row r="26" ht="15.75" customHeight="1">
      <c r="A26" s="7">
        <f>IFERROR(__xludf.DUMMYFUNCTION("""COMPUTED_VALUE"""),42002.66666666667)</f>
        <v>42002.66667</v>
      </c>
      <c r="B26" s="7">
        <f>IFERROR(__xludf.DUMMYFUNCTION("""COMPUTED_VALUE"""),69.88)</f>
        <v>69.88</v>
      </c>
      <c r="C26" s="15">
        <f>IFERROR(__xludf.DUMMYFUNCTION("""COMPUTED_VALUE"""),42367.66666666667)</f>
        <v>42367.66667</v>
      </c>
      <c r="D26" s="7">
        <f>IFERROR(__xludf.DUMMYFUNCTION("""COMPUTED_VALUE"""),82.18)</f>
        <v>82.18</v>
      </c>
      <c r="E26" s="15">
        <f>IFERROR(__xludf.DUMMYFUNCTION("""COMPUTED_VALUE"""),42733.66666666667)</f>
        <v>42733.66667</v>
      </c>
      <c r="F26" s="7">
        <f>IFERROR(__xludf.DUMMYFUNCTION("""COMPUTED_VALUE"""),93.63)</f>
        <v>93.63</v>
      </c>
      <c r="G26" s="15">
        <f>IFERROR(__xludf.DUMMYFUNCTION("""COMPUTED_VALUE"""),43098.66666666667)</f>
        <v>43098.66667</v>
      </c>
      <c r="H26" s="7">
        <f>IFERROR(__xludf.DUMMYFUNCTION("""COMPUTED_VALUE"""),102.27)</f>
        <v>102.27</v>
      </c>
      <c r="I26" s="7"/>
      <c r="J26" s="7"/>
      <c r="K26" s="15">
        <f>IFERROR(__xludf.DUMMYFUNCTION("""COMPUTED_VALUE"""),43829.66666666667)</f>
        <v>43829.66667</v>
      </c>
      <c r="L26" s="7">
        <f>IFERROR(__xludf.DUMMYFUNCTION("""COMPUTED_VALUE"""),130.9)</f>
        <v>130.9</v>
      </c>
      <c r="M26" s="15">
        <f>IFERROR(__xludf.DUMMYFUNCTION("""COMPUTED_VALUE"""),44194.66666666667)</f>
        <v>44194.66667</v>
      </c>
      <c r="N26" s="7">
        <f>IFERROR(__xludf.DUMMYFUNCTION("""COMPUTED_VALUE"""),133.89)</f>
        <v>133.89</v>
      </c>
      <c r="O26" s="15">
        <f>IFERROR(__xludf.DUMMYFUNCTION("""COMPUTED_VALUE"""),44559.66666666667)</f>
        <v>44559.66667</v>
      </c>
      <c r="P26" s="7">
        <f>IFERROR(__xludf.DUMMYFUNCTION("""COMPUTED_VALUE"""),155.25)</f>
        <v>155.25</v>
      </c>
      <c r="Q26" s="15">
        <f>IFERROR(__xludf.DUMMYFUNCTION("""COMPUTED_VALUE"""),44924.66666666667)</f>
        <v>44924.66667</v>
      </c>
      <c r="R26" s="15">
        <f>IFERROR(__xludf.DUMMYFUNCTION("""COMPUTED_VALUE"""),126.64)</f>
        <v>126.64</v>
      </c>
      <c r="S26" s="15">
        <f>IFERROR(__xludf.DUMMYFUNCTION("""COMPUTED_VALUE"""),45289.66666666667)</f>
        <v>45289.66667</v>
      </c>
      <c r="T26" s="7">
        <f>IFERROR(__xludf.DUMMYFUNCTION("""COMPUTED_VALUE"""),168.75)</f>
        <v>168.75</v>
      </c>
      <c r="U26" s="16">
        <f>IFERROR(__xludf.DUMMYFUNCTION("""COMPUTED_VALUE"""),45656.66666666667)</f>
        <v>45656.66667</v>
      </c>
      <c r="V26" s="7">
        <f>IFERROR(__xludf.DUMMYFUNCTION("""COMPUTED_VALUE"""),213.53)</f>
        <v>213.53</v>
      </c>
      <c r="W26" s="7"/>
      <c r="X26" s="7"/>
      <c r="Y26" s="7"/>
      <c r="Z26" s="7"/>
      <c r="AA26" s="7"/>
      <c r="AB26" s="7"/>
      <c r="AC26" s="7"/>
      <c r="AD26" s="7"/>
    </row>
    <row r="27" ht="15.75" customHeight="1">
      <c r="A27" s="7">
        <f>IFERROR(__xludf.DUMMYFUNCTION("""COMPUTED_VALUE"""),42003.66666666667)</f>
        <v>42003.66667</v>
      </c>
      <c r="B27" s="7">
        <f>IFERROR(__xludf.DUMMYFUNCTION("""COMPUTED_VALUE"""),69.81)</f>
        <v>69.81</v>
      </c>
      <c r="C27" s="7">
        <f>IFERROR(__xludf.DUMMYFUNCTION("""COMPUTED_VALUE"""),42368.66666666667)</f>
        <v>42368.66667</v>
      </c>
      <c r="D27" s="7">
        <f>IFERROR(__xludf.DUMMYFUNCTION("""COMPUTED_VALUE"""),82.11)</f>
        <v>82.11</v>
      </c>
      <c r="E27" s="7">
        <f>IFERROR(__xludf.DUMMYFUNCTION("""COMPUTED_VALUE"""),42734.66666666667)</f>
        <v>42734.66667</v>
      </c>
      <c r="F27" s="7">
        <f>IFERROR(__xludf.DUMMYFUNCTION("""COMPUTED_VALUE"""),93.4)</f>
        <v>93.4</v>
      </c>
      <c r="G27" s="17"/>
      <c r="H27" s="7"/>
      <c r="I27" s="7"/>
      <c r="J27" s="7"/>
      <c r="K27" s="15">
        <f>IFERROR(__xludf.DUMMYFUNCTION("""COMPUTED_VALUE"""),43830.66666666667)</f>
        <v>43830.66667</v>
      </c>
      <c r="L27" s="7">
        <f>IFERROR(__xludf.DUMMYFUNCTION("""COMPUTED_VALUE"""),131.55)</f>
        <v>131.55</v>
      </c>
      <c r="M27" s="15">
        <f>IFERROR(__xludf.DUMMYFUNCTION("""COMPUTED_VALUE"""),44195.66666666667)</f>
        <v>44195.66667</v>
      </c>
      <c r="N27" s="7">
        <f>IFERROR(__xludf.DUMMYFUNCTION("""COMPUTED_VALUE"""),134.53)</f>
        <v>134.53</v>
      </c>
      <c r="O27" s="15">
        <f>IFERROR(__xludf.DUMMYFUNCTION("""COMPUTED_VALUE"""),44560.66666666667)</f>
        <v>44560.66667</v>
      </c>
      <c r="P27" s="7">
        <f>IFERROR(__xludf.DUMMYFUNCTION("""COMPUTED_VALUE"""),156.43)</f>
        <v>156.43</v>
      </c>
      <c r="Q27" s="15">
        <f>IFERROR(__xludf.DUMMYFUNCTION("""COMPUTED_VALUE"""),44925.66666666667)</f>
        <v>44925.66667</v>
      </c>
      <c r="R27" s="7">
        <f>IFERROR(__xludf.DUMMYFUNCTION("""COMPUTED_VALUE"""),127.09)</f>
        <v>127.09</v>
      </c>
      <c r="S27" s="17"/>
      <c r="T27" s="7"/>
      <c r="U27" s="7">
        <f>IFERROR(__xludf.DUMMYFUNCTION("""COMPUTED_VALUE"""),45657.66666666667)</f>
        <v>45657.66667</v>
      </c>
      <c r="V27" s="7">
        <f>IFERROR(__xludf.DUMMYFUNCTION("""COMPUTED_VALUE"""),214.04)</f>
        <v>214.04</v>
      </c>
      <c r="W27" s="7"/>
      <c r="X27" s="7"/>
      <c r="Y27" s="7"/>
      <c r="Z27" s="7"/>
      <c r="AA27" s="7"/>
      <c r="AB27" s="7"/>
      <c r="AC27" s="7"/>
      <c r="AD27" s="7"/>
    </row>
    <row r="28" ht="15.75" customHeight="1">
      <c r="A28" s="7">
        <f>IFERROR(__xludf.DUMMYFUNCTION("""COMPUTED_VALUE"""),42004.66666666667)</f>
        <v>42004.66667</v>
      </c>
      <c r="B28" s="7">
        <f>IFERROR(__xludf.DUMMYFUNCTION("""COMPUTED_VALUE"""),69.94)</f>
        <v>69.94</v>
      </c>
      <c r="C28" s="7">
        <f>IFERROR(__xludf.DUMMYFUNCTION("""COMPUTED_VALUE"""),42369.66666666667)</f>
        <v>42369.66667</v>
      </c>
      <c r="D28" s="7">
        <f>IFERROR(__xludf.DUMMYFUNCTION("""COMPUTED_VALUE"""),81.54)</f>
        <v>81.54</v>
      </c>
      <c r="E28" s="7"/>
      <c r="F28" s="7"/>
      <c r="G28" s="17"/>
      <c r="H28" s="7"/>
      <c r="I28" s="7"/>
      <c r="J28" s="7"/>
      <c r="K28" s="17"/>
      <c r="L28" s="7"/>
      <c r="M28" s="15">
        <f>IFERROR(__xludf.DUMMYFUNCTION("""COMPUTED_VALUE"""),44196.66666666667)</f>
        <v>44196.66667</v>
      </c>
      <c r="N28" s="7">
        <f>IFERROR(__xludf.DUMMYFUNCTION("""COMPUTED_VALUE"""),136.4)</f>
        <v>136.4</v>
      </c>
      <c r="O28" s="15">
        <f>IFERROR(__xludf.DUMMYFUNCTION("""COMPUTED_VALUE"""),44561.66666666667)</f>
        <v>44561.66667</v>
      </c>
      <c r="P28" s="7">
        <f>IFERROR(__xludf.DUMMYFUNCTION("""COMPUTED_VALUE"""),156.81)</f>
        <v>156.81</v>
      </c>
      <c r="Q28" s="17"/>
      <c r="R28" s="7"/>
      <c r="S28" s="7"/>
      <c r="T28" s="7"/>
      <c r="U28" s="7"/>
      <c r="V28" s="7"/>
      <c r="W28" s="7"/>
      <c r="X28" s="7"/>
      <c r="Y28" s="7"/>
      <c r="Z28" s="7"/>
      <c r="AA28" s="7"/>
      <c r="AB28" s="7"/>
      <c r="AC28" s="7"/>
      <c r="AD28" s="7"/>
    </row>
    <row r="29" ht="15.75" customHeight="1">
      <c r="A29" s="7"/>
      <c r="B29" s="7"/>
      <c r="C29" s="7"/>
      <c r="D29" s="7"/>
      <c r="E29" s="7"/>
      <c r="F29" s="7"/>
      <c r="G29" s="7"/>
      <c r="H29" s="7"/>
      <c r="I29" s="7"/>
      <c r="J29" s="7"/>
      <c r="K29" s="7"/>
      <c r="L29" s="7"/>
      <c r="M29" s="7"/>
      <c r="N29" s="7"/>
      <c r="O29" s="17"/>
      <c r="P29" s="7"/>
      <c r="Q29" s="7"/>
      <c r="R29" s="7"/>
      <c r="S29" s="7"/>
      <c r="T29" s="7"/>
      <c r="U29" s="7"/>
      <c r="V29" s="7"/>
      <c r="W29" s="7"/>
      <c r="X29" s="7"/>
      <c r="Y29" s="7"/>
      <c r="Z29" s="7"/>
      <c r="AA29" s="7"/>
      <c r="AB29" s="7"/>
      <c r="AC29" s="7"/>
      <c r="AD29" s="7"/>
    </row>
    <row r="30" ht="15.75" customHeight="1">
      <c r="A30" s="7"/>
      <c r="B30" s="7"/>
      <c r="C30" s="7"/>
      <c r="D30" s="7"/>
      <c r="E30" s="7"/>
      <c r="F30" s="7"/>
      <c r="G30" s="7"/>
      <c r="H30" s="7"/>
      <c r="I30" s="7"/>
      <c r="J30" s="7"/>
      <c r="K30" s="7"/>
      <c r="L30" s="7"/>
      <c r="M30" s="7"/>
      <c r="N30" s="7"/>
      <c r="O30" s="17"/>
      <c r="P30" s="7"/>
      <c r="Q30" s="7"/>
      <c r="R30" s="7"/>
      <c r="S30" s="7"/>
      <c r="T30" s="7"/>
      <c r="U30" s="7"/>
      <c r="V30" s="7"/>
      <c r="W30" s="7"/>
      <c r="X30" s="7"/>
      <c r="Y30" s="7"/>
      <c r="Z30" s="7"/>
      <c r="AA30" s="7"/>
      <c r="AB30" s="7"/>
      <c r="AC30" s="7"/>
      <c r="AD30" s="7"/>
    </row>
    <row r="31" ht="15.75" customHeight="1">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row>
    <row r="32" ht="15.75" customHeight="1">
      <c r="A32" s="7"/>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row>
    <row r="33" ht="15.75" customHeight="1">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row>
    <row r="34" ht="15.75" customHeight="1">
      <c r="A34" s="7"/>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row>
    <row r="35" ht="15.75" customHeight="1">
      <c r="A35" s="7"/>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row>
    <row r="36" ht="15.75" customHeight="1">
      <c r="A36" s="7"/>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row>
    <row r="37" ht="15.75" customHeight="1">
      <c r="A37" s="7"/>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row>
    <row r="38" ht="15.75"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row>
    <row r="39" ht="15.75" customHeight="1">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row>
    <row r="40" ht="15.75" customHeight="1">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row>
    <row r="41" ht="15.75" customHeight="1">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row>
    <row r="42" ht="15.75" customHeight="1">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row>
    <row r="43" ht="15.75" customHeight="1">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row>
    <row r="44" ht="15.75" customHeight="1">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row>
    <row r="45" ht="15.75" customHeight="1">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row>
    <row r="46" ht="15.75" customHeight="1">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row>
    <row r="47" ht="15.75" customHeight="1">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row>
    <row r="48" ht="15.75" customHeight="1">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row>
    <row r="49" ht="15.75" customHeight="1">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row>
    <row r="50" ht="15.75" customHeight="1">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row>
    <row r="51" ht="15.75" customHeight="1">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row>
    <row r="52" ht="15.75" customHeight="1">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row>
    <row r="53" ht="15.75" customHeight="1">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row>
    <row r="54" ht="15.75" customHeigh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row>
    <row r="55" ht="15.75" customHeight="1">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row>
    <row r="56" ht="15.75" customHeight="1">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row>
    <row r="57" ht="15.75" customHeight="1">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row>
    <row r="58" ht="15.75" customHeigh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row>
    <row r="59" ht="15.75"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row>
    <row r="60" ht="15.75" customHeight="1">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row>
    <row r="61" ht="15.75" customHeight="1">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row>
    <row r="62" ht="15.75" customHeight="1">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row>
    <row r="63" ht="15.75" customHeight="1">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row>
    <row r="64" ht="15.75" customHeigh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row>
    <row r="65" ht="15.75" customHeight="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row>
    <row r="66" ht="15.75" customHeight="1">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row>
    <row r="67" ht="15.75" customHeight="1">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row>
    <row r="68" ht="15.75"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row>
    <row r="69" ht="15.75" customHeight="1">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row>
    <row r="70" ht="15.75" customHeight="1">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row>
    <row r="71" ht="15.75" customHeight="1">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row>
    <row r="72" ht="15.75" customHeight="1">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row>
    <row r="73" ht="15.75" customHeight="1">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row>
    <row r="74" ht="15.75" customHeight="1">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row>
    <row r="75" ht="15.75" customHeight="1">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row>
    <row r="76" ht="15.75" customHeight="1">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row>
    <row r="77" ht="15.75" customHeight="1">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row>
    <row r="78" ht="15.75" customHeight="1">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row>
    <row r="79" ht="15.75" customHeight="1">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row>
    <row r="80" ht="15.7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row>
    <row r="81" ht="15.7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row>
    <row r="82" ht="15.7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row>
    <row r="83" ht="15.7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row>
    <row r="84" ht="15.75"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row>
    <row r="85" ht="15.75"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row>
    <row r="86" ht="15.75"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row>
    <row r="87" ht="15.75"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row>
    <row r="88" ht="15.75"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row>
    <row r="89" ht="15.75"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row>
    <row r="90" ht="15.75" customHeight="1">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row>
    <row r="91" ht="15.75" customHeight="1">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row>
    <row r="92" ht="15.75"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row>
    <row r="93" ht="15.7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row>
    <row r="94" ht="15.7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row>
    <row r="95" ht="15.7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row>
    <row r="96" ht="15.7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row>
    <row r="97" ht="15.7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row>
    <row r="98" ht="15.75" customHeight="1">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row>
    <row r="99" ht="15.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row>
    <row r="100" ht="15.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row>
    <row r="101" ht="15.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row>
    <row r="102" ht="15.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row>
    <row r="103" ht="15.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row>
    <row r="104" ht="15.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row>
    <row r="105" ht="15.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row>
    <row r="106" ht="15.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row>
    <row r="107" ht="15.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row>
    <row r="108" ht="15.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row>
    <row r="109" ht="15.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row>
    <row r="110" ht="15.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row>
    <row r="111" ht="15.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row>
    <row r="112" ht="15.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row>
    <row r="113" ht="15.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row>
    <row r="114" ht="15.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row>
    <row r="115" ht="15.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row>
    <row r="116" ht="15.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row>
    <row r="117" ht="15.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row>
    <row r="118" ht="15.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row>
    <row r="119" ht="15.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row>
    <row r="120" ht="15.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row>
    <row r="121" ht="15.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row>
    <row r="122" ht="15.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row>
    <row r="123" ht="15.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row>
    <row r="124" ht="15.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row>
    <row r="125" ht="15.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row>
    <row r="126" ht="15.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row>
    <row r="127" ht="15.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row>
    <row r="128" ht="15.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row>
    <row r="129" ht="15.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row>
    <row r="130" ht="15.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row>
    <row r="131" ht="15.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row>
    <row r="132" ht="15.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row>
    <row r="133" ht="15.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row>
    <row r="134" ht="15.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row>
    <row r="135" ht="15.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row>
    <row r="136" ht="15.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row>
    <row r="137" ht="15.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row>
    <row r="138" ht="15.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row>
    <row r="139" ht="15.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row>
    <row r="140" ht="15.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row>
    <row r="141" ht="15.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row>
    <row r="142" ht="15.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row>
    <row r="143" ht="15.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row>
    <row r="144" ht="15.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row>
    <row r="145" ht="15.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row>
    <row r="146" ht="15.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row>
    <row r="147" ht="15.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row>
    <row r="148" ht="15.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row>
    <row r="149" ht="15.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row>
    <row r="150" ht="15.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row>
    <row r="151" ht="15.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row>
    <row r="152" ht="15.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row>
    <row r="153" ht="15.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row>
    <row r="154" ht="15.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row>
    <row r="155" ht="15.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row>
    <row r="156" ht="15.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row>
    <row r="157" ht="15.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row>
    <row r="158" ht="15.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row>
    <row r="159" ht="15.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row>
    <row r="160" ht="15.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row>
    <row r="161" ht="15.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row>
    <row r="162" ht="15.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row>
    <row r="163" ht="15.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row>
    <row r="164" ht="15.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row>
    <row r="165" ht="15.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row>
    <row r="166" ht="15.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row>
    <row r="167" ht="15.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row>
    <row r="168" ht="15.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row>
    <row r="169" ht="15.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row>
    <row r="170" ht="15.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row>
    <row r="171" ht="15.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row>
    <row r="172" ht="15.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row>
    <row r="173" ht="15.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row>
    <row r="174" ht="15.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row>
    <row r="175" ht="15.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row>
    <row r="176" ht="15.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row>
    <row r="177" ht="15.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row>
    <row r="178" ht="15.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row>
    <row r="179" ht="15.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row>
    <row r="180" ht="15.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row>
    <row r="181" ht="15.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row>
    <row r="182" ht="15.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row>
    <row r="183" ht="15.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row>
    <row r="184" ht="15.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row>
    <row r="185" ht="15.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row>
    <row r="186" ht="15.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row>
    <row r="187" ht="15.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row>
    <row r="188" ht="15.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row>
    <row r="189" ht="15.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row>
    <row r="190" ht="15.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row>
    <row r="191" ht="15.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row>
    <row r="192" ht="15.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row>
    <row r="193" ht="15.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row>
    <row r="194" ht="15.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row>
    <row r="195" ht="15.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row>
    <row r="196" ht="15.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row>
    <row r="197" ht="15.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row>
    <row r="198" ht="15.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row>
    <row r="199" ht="15.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row>
    <row r="200" ht="15.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row>
    <row r="201" ht="15.7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row>
    <row r="202" ht="15.7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row>
    <row r="203" ht="15.7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row>
    <row r="204" ht="15.7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row>
    <row r="205" ht="15.7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row>
    <row r="206" ht="15.7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row>
    <row r="207" ht="15.7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row>
    <row r="208" ht="15.7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row>
    <row r="209" ht="15.7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row>
    <row r="210" ht="15.7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row>
    <row r="211" ht="15.7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c r="AC211" s="18"/>
      <c r="AD211" s="18"/>
    </row>
    <row r="212" ht="15.7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row>
    <row r="213" ht="15.7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row>
    <row r="214" ht="15.7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row>
    <row r="215" ht="15.7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row>
    <row r="216" ht="15.7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row>
    <row r="217" ht="15.7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row>
    <row r="218" ht="15.7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row>
    <row r="219" ht="15.7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row>
    <row r="220" ht="15.7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row>
    <row r="221" ht="15.7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c r="AB221" s="18"/>
      <c r="AC221" s="18"/>
      <c r="AD221" s="18"/>
    </row>
    <row r="222" ht="15.7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c r="AB222" s="18"/>
      <c r="AC222" s="18"/>
      <c r="AD222" s="18"/>
    </row>
    <row r="223" ht="15.7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c r="AB223" s="18"/>
      <c r="AC223" s="18"/>
      <c r="AD223" s="18"/>
    </row>
    <row r="224" ht="15.7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c r="AB224" s="18"/>
      <c r="AC224" s="18"/>
      <c r="AD224" s="18"/>
    </row>
    <row r="225" ht="15.7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c r="AB225" s="18"/>
      <c r="AC225" s="18"/>
      <c r="AD225" s="18"/>
    </row>
    <row r="226" ht="15.7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c r="AC226" s="18"/>
      <c r="AD226" s="18"/>
    </row>
    <row r="227" ht="15.7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c r="AB227" s="18"/>
      <c r="AC227" s="18"/>
      <c r="AD227" s="18"/>
    </row>
    <row r="228" ht="15.7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c r="AB228" s="18"/>
      <c r="AC228" s="18"/>
      <c r="AD228" s="18"/>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1.0" footer="0.0" header="0.0" left="0.75" right="0.75" top="1.0"/>
  <pageSetup orientation="landscape"/>
  <drawing r:id="rId1"/>
</worksheet>
</file>